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LOG\LICITAÇÕES 2024\Terceirização de mão de obra\EDITAL\"/>
    </mc:Choice>
  </mc:AlternateContent>
  <xr:revisionPtr revIDLastSave="0" documentId="13_ncr:1_{554C2BCA-0603-462C-A13A-FA933CDB17EE}" xr6:coauthVersionLast="47" xr6:coauthVersionMax="47" xr10:uidLastSave="{00000000-0000-0000-0000-000000000000}"/>
  <bookViews>
    <workbookView xWindow="-90" yWindow="-90" windowWidth="28980" windowHeight="15780" tabRatio="603" activeTab="2" xr2:uid="{00000000-000D-0000-FFFF-FFFF00000000}"/>
  </bookViews>
  <sheets>
    <sheet name="PROPOSTA" sheetId="91" r:id="rId1"/>
    <sheet name="POSTOS DE SERVIÇO" sheetId="89" r:id="rId2"/>
    <sheet name="INSUMOS" sheetId="93" r:id="rId3"/>
    <sheet name="UNIFORMES" sheetId="92" r:id="rId4"/>
  </sheets>
  <definedNames>
    <definedName name="_xlnm.Print_Area" localSheetId="1">'POSTOS DE SERVIÇO'!$B$2:$O$129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6" i="89" l="1"/>
  <c r="D75" i="89"/>
  <c r="D74" i="89"/>
  <c r="D73" i="89"/>
  <c r="L16" i="89"/>
  <c r="G36" i="89" l="1"/>
  <c r="J50" i="89"/>
  <c r="H38" i="89"/>
  <c r="J48" i="89" l="1"/>
  <c r="J57" i="89"/>
  <c r="N50" i="89"/>
  <c r="M50" i="89"/>
  <c r="O50" i="89"/>
  <c r="I50" i="89"/>
  <c r="L50" i="89"/>
  <c r="K50" i="89"/>
  <c r="F50" i="89"/>
  <c r="G50" i="89"/>
  <c r="O57" i="89"/>
  <c r="I57" i="89"/>
  <c r="H57" i="89"/>
  <c r="H50" i="89"/>
  <c r="O55" i="89"/>
  <c r="H55" i="89"/>
  <c r="I55" i="89"/>
  <c r="F55" i="89"/>
  <c r="G55" i="89"/>
  <c r="K55" i="89"/>
  <c r="L55" i="89"/>
  <c r="M55" i="89"/>
  <c r="N55" i="89"/>
  <c r="K15" i="91"/>
  <c r="J15" i="91" s="1"/>
  <c r="I15" i="91" s="1"/>
  <c r="K13" i="91"/>
  <c r="H4" i="93"/>
  <c r="H5" i="93"/>
  <c r="H6" i="93"/>
  <c r="H7" i="93"/>
  <c r="H8" i="93"/>
  <c r="H9" i="93"/>
  <c r="H10" i="93"/>
  <c r="H3" i="93"/>
  <c r="H11" i="93" s="1"/>
  <c r="G4" i="93"/>
  <c r="G5" i="93"/>
  <c r="G6" i="93"/>
  <c r="G7" i="93"/>
  <c r="G8" i="93"/>
  <c r="G9" i="93"/>
  <c r="G10" i="93"/>
  <c r="G3" i="93"/>
  <c r="F105" i="89"/>
  <c r="F106" i="89" s="1"/>
  <c r="F126" i="89" s="1"/>
  <c r="G105" i="89"/>
  <c r="G106" i="89" s="1"/>
  <c r="H105" i="89"/>
  <c r="H106" i="89" s="1"/>
  <c r="I105" i="89"/>
  <c r="I106" i="89" s="1"/>
  <c r="I126" i="89" s="1"/>
  <c r="J105" i="89"/>
  <c r="J106" i="89" s="1"/>
  <c r="J126" i="89" s="1"/>
  <c r="K105" i="89"/>
  <c r="K106" i="89" s="1"/>
  <c r="K126" i="89" s="1"/>
  <c r="L105" i="89"/>
  <c r="L106" i="89" s="1"/>
  <c r="M105" i="89"/>
  <c r="M106" i="89" s="1"/>
  <c r="M126" i="89" s="1"/>
  <c r="N105" i="89"/>
  <c r="N106" i="89" s="1"/>
  <c r="O105" i="89"/>
  <c r="O106" i="89" s="1"/>
  <c r="E105" i="89"/>
  <c r="I99" i="89"/>
  <c r="J99" i="89"/>
  <c r="K99" i="89"/>
  <c r="L99" i="89"/>
  <c r="M99" i="89"/>
  <c r="H93" i="89"/>
  <c r="H99" i="89" s="1"/>
  <c r="I93" i="89"/>
  <c r="J93" i="89"/>
  <c r="K93" i="89"/>
  <c r="L93" i="89"/>
  <c r="M93" i="89"/>
  <c r="N93" i="89"/>
  <c r="N99" i="89" s="1"/>
  <c r="O93" i="89"/>
  <c r="O99" i="89" s="1"/>
  <c r="E55" i="89"/>
  <c r="F54" i="89"/>
  <c r="G54" i="89"/>
  <c r="J54" i="89"/>
  <c r="K54" i="89"/>
  <c r="L54" i="89"/>
  <c r="M54" i="89"/>
  <c r="N54" i="89"/>
  <c r="G11" i="93" l="1"/>
  <c r="J13" i="91" s="1"/>
  <c r="I13" i="91" s="1"/>
  <c r="O126" i="89"/>
  <c r="L126" i="89"/>
  <c r="H126" i="89"/>
  <c r="G126" i="89"/>
  <c r="N126" i="89"/>
  <c r="O23" i="89" l="1"/>
  <c r="N23" i="89"/>
  <c r="M23" i="89"/>
  <c r="L23" i="89"/>
  <c r="K23" i="89"/>
  <c r="J23" i="89"/>
  <c r="I23" i="89"/>
  <c r="H23" i="89"/>
  <c r="G23" i="89"/>
  <c r="F23" i="89"/>
  <c r="E23" i="89"/>
  <c r="E48" i="89" s="1"/>
  <c r="E54" i="89"/>
  <c r="E50" i="89"/>
  <c r="O48" i="89" l="1"/>
  <c r="N48" i="89"/>
  <c r="N57" i="89"/>
  <c r="I48" i="89"/>
  <c r="F57" i="89"/>
  <c r="F48" i="89"/>
  <c r="F58" i="89" s="1"/>
  <c r="F65" i="89" s="1"/>
  <c r="K48" i="89"/>
  <c r="K57" i="89"/>
  <c r="L57" i="89"/>
  <c r="L48" i="89"/>
  <c r="L58" i="89" s="1"/>
  <c r="L65" i="89" s="1"/>
  <c r="M48" i="89"/>
  <c r="M57" i="89"/>
  <c r="G57" i="89"/>
  <c r="G48" i="89"/>
  <c r="G58" i="89" s="1"/>
  <c r="G65" i="89" s="1"/>
  <c r="H48" i="89"/>
  <c r="H24" i="89"/>
  <c r="H25" i="89" s="1"/>
  <c r="I24" i="89"/>
  <c r="I25" i="89" s="1"/>
  <c r="J24" i="89"/>
  <c r="J25" i="89" s="1"/>
  <c r="E24" i="89"/>
  <c r="E25" i="89" s="1"/>
  <c r="K24" i="89"/>
  <c r="K25" i="89" s="1"/>
  <c r="L24" i="89"/>
  <c r="L25" i="89" s="1"/>
  <c r="F24" i="89"/>
  <c r="F25" i="89" s="1"/>
  <c r="M24" i="89"/>
  <c r="M25" i="89" s="1"/>
  <c r="N24" i="89"/>
  <c r="N25" i="89"/>
  <c r="O24" i="89"/>
  <c r="O25" i="89" s="1"/>
  <c r="G24" i="89"/>
  <c r="G25" i="89" s="1"/>
  <c r="F9" i="92"/>
  <c r="K58" i="89" l="1"/>
  <c r="K65" i="89" s="1"/>
  <c r="O122" i="89"/>
  <c r="H58" i="89"/>
  <c r="H65" i="89" s="1"/>
  <c r="K122" i="89"/>
  <c r="M58" i="89"/>
  <c r="M65" i="89" s="1"/>
  <c r="M122" i="89"/>
  <c r="F122" i="89"/>
  <c r="L122" i="89"/>
  <c r="J58" i="89"/>
  <c r="J65" i="89" s="1"/>
  <c r="N58" i="89"/>
  <c r="N65" i="89" s="1"/>
  <c r="J122" i="89"/>
  <c r="I122" i="89"/>
  <c r="N122" i="89"/>
  <c r="I58" i="89"/>
  <c r="I65" i="89" s="1"/>
  <c r="G122" i="89"/>
  <c r="H122" i="89"/>
  <c r="O58" i="89"/>
  <c r="O65" i="89" s="1"/>
  <c r="M31" i="89"/>
  <c r="I31" i="89"/>
  <c r="F31" i="89"/>
  <c r="L31" i="89"/>
  <c r="K31" i="89"/>
  <c r="J31" i="89"/>
  <c r="G31" i="89"/>
  <c r="H31" i="89"/>
  <c r="E31" i="89"/>
  <c r="N31" i="89"/>
  <c r="O31" i="89"/>
  <c r="D113" i="89"/>
  <c r="F5" i="92" l="1"/>
  <c r="F6" i="92"/>
  <c r="F7" i="92"/>
  <c r="F8" i="92"/>
  <c r="F4" i="92"/>
  <c r="D86" i="89"/>
  <c r="D85" i="89"/>
  <c r="D71" i="89"/>
  <c r="L71" i="89" l="1"/>
  <c r="K71" i="89"/>
  <c r="M71" i="89"/>
  <c r="N71" i="89"/>
  <c r="H71" i="89"/>
  <c r="E71" i="89"/>
  <c r="I71" i="89"/>
  <c r="G71" i="89"/>
  <c r="O71" i="89"/>
  <c r="F71" i="89"/>
  <c r="J71" i="89"/>
  <c r="H73" i="89"/>
  <c r="F73" i="89"/>
  <c r="I73" i="89"/>
  <c r="G73" i="89"/>
  <c r="M73" i="89"/>
  <c r="J73" i="89"/>
  <c r="O73" i="89"/>
  <c r="K73" i="89"/>
  <c r="L73" i="89"/>
  <c r="N73" i="89"/>
  <c r="L74" i="89"/>
  <c r="M74" i="89"/>
  <c r="N74" i="89"/>
  <c r="F74" i="89"/>
  <c r="H74" i="89"/>
  <c r="J74" i="89"/>
  <c r="K74" i="89"/>
  <c r="O74" i="89"/>
  <c r="G74" i="89"/>
  <c r="I74" i="89"/>
  <c r="F10" i="92"/>
  <c r="E106" i="89" l="1"/>
  <c r="D44" i="89"/>
  <c r="F93" i="89" l="1"/>
  <c r="F99" i="89" s="1"/>
  <c r="G93" i="89"/>
  <c r="G99" i="89" s="1"/>
  <c r="D87" i="89"/>
  <c r="H76" i="89" l="1"/>
  <c r="N76" i="89"/>
  <c r="I76" i="89"/>
  <c r="L76" i="89"/>
  <c r="F76" i="89"/>
  <c r="J76" i="89"/>
  <c r="M76" i="89"/>
  <c r="G76" i="89"/>
  <c r="K76" i="89"/>
  <c r="O76" i="89"/>
  <c r="C128" i="89"/>
  <c r="C126" i="89"/>
  <c r="C125" i="89"/>
  <c r="C124" i="89"/>
  <c r="C123" i="89"/>
  <c r="C122" i="89"/>
  <c r="D117" i="89"/>
  <c r="E93" i="89"/>
  <c r="E99" i="89" s="1"/>
  <c r="D84" i="89"/>
  <c r="D83" i="89"/>
  <c r="D72" i="89"/>
  <c r="D30" i="89"/>
  <c r="H75" i="89" l="1"/>
  <c r="G75" i="89"/>
  <c r="K75" i="89"/>
  <c r="L75" i="89"/>
  <c r="M75" i="89"/>
  <c r="N75" i="89"/>
  <c r="O75" i="89"/>
  <c r="J75" i="89"/>
  <c r="F75" i="89"/>
  <c r="I75" i="89"/>
  <c r="I72" i="89"/>
  <c r="J72" i="89"/>
  <c r="L72" i="89"/>
  <c r="M72" i="89"/>
  <c r="N72" i="89"/>
  <c r="H72" i="89"/>
  <c r="K72" i="89"/>
  <c r="G72" i="89"/>
  <c r="G77" i="89" s="1"/>
  <c r="F72" i="89"/>
  <c r="O72" i="89"/>
  <c r="I30" i="89"/>
  <c r="I32" i="89" s="1"/>
  <c r="I63" i="89" s="1"/>
  <c r="J30" i="89"/>
  <c r="J32" i="89" s="1"/>
  <c r="J63" i="89" s="1"/>
  <c r="K30" i="89"/>
  <c r="K32" i="89" s="1"/>
  <c r="K63" i="89" s="1"/>
  <c r="L30" i="89"/>
  <c r="L32" i="89" s="1"/>
  <c r="L63" i="89" s="1"/>
  <c r="M30" i="89"/>
  <c r="M32" i="89" s="1"/>
  <c r="M63" i="89" s="1"/>
  <c r="H30" i="89"/>
  <c r="H32" i="89" s="1"/>
  <c r="H63" i="89" s="1"/>
  <c r="N30" i="89"/>
  <c r="N32" i="89" s="1"/>
  <c r="N63" i="89" s="1"/>
  <c r="O30" i="89"/>
  <c r="O32" i="89" s="1"/>
  <c r="O63" i="89" s="1"/>
  <c r="F30" i="89"/>
  <c r="F32" i="89" s="1"/>
  <c r="F63" i="89" s="1"/>
  <c r="G30" i="89"/>
  <c r="G32" i="89" s="1"/>
  <c r="G63" i="89" s="1"/>
  <c r="E30" i="89"/>
  <c r="E32" i="89" s="1"/>
  <c r="E63" i="89" s="1"/>
  <c r="E57" i="89"/>
  <c r="E58" i="89" s="1"/>
  <c r="D88" i="89"/>
  <c r="D32" i="89"/>
  <c r="H77" i="89" l="1"/>
  <c r="H124" i="89" s="1"/>
  <c r="I77" i="89"/>
  <c r="I124" i="89" s="1"/>
  <c r="J77" i="89"/>
  <c r="J124" i="89" s="1"/>
  <c r="O77" i="89"/>
  <c r="O124" i="89" s="1"/>
  <c r="K77" i="89"/>
  <c r="K124" i="89" s="1"/>
  <c r="N77" i="89"/>
  <c r="G124" i="89"/>
  <c r="M77" i="89"/>
  <c r="F77" i="89"/>
  <c r="L77" i="89"/>
  <c r="N43" i="89"/>
  <c r="N39" i="89"/>
  <c r="N42" i="89"/>
  <c r="N36" i="89"/>
  <c r="N41" i="89"/>
  <c r="N40" i="89"/>
  <c r="N38" i="89"/>
  <c r="N37" i="89"/>
  <c r="H40" i="89"/>
  <c r="H43" i="89"/>
  <c r="H39" i="89"/>
  <c r="H42" i="89"/>
  <c r="H36" i="89"/>
  <c r="H37" i="89"/>
  <c r="H41" i="89"/>
  <c r="G38" i="89"/>
  <c r="G39" i="89"/>
  <c r="G37" i="89"/>
  <c r="G40" i="89"/>
  <c r="G41" i="89"/>
  <c r="G42" i="89"/>
  <c r="G43" i="89"/>
  <c r="M41" i="89"/>
  <c r="M37" i="89"/>
  <c r="M40" i="89"/>
  <c r="M43" i="89"/>
  <c r="M39" i="89"/>
  <c r="M42" i="89"/>
  <c r="M38" i="89"/>
  <c r="M36" i="89"/>
  <c r="L37" i="89"/>
  <c r="L40" i="89"/>
  <c r="L43" i="89"/>
  <c r="L41" i="89"/>
  <c r="L39" i="89"/>
  <c r="L42" i="89"/>
  <c r="L38" i="89"/>
  <c r="L36" i="89"/>
  <c r="F36" i="89"/>
  <c r="F38" i="89"/>
  <c r="F39" i="89"/>
  <c r="F43" i="89"/>
  <c r="F40" i="89"/>
  <c r="F41" i="89"/>
  <c r="F42" i="89"/>
  <c r="F37" i="89"/>
  <c r="K37" i="89"/>
  <c r="K40" i="89"/>
  <c r="K43" i="89"/>
  <c r="K39" i="89"/>
  <c r="K42" i="89"/>
  <c r="K36" i="89"/>
  <c r="K38" i="89"/>
  <c r="K41" i="89"/>
  <c r="E39" i="89"/>
  <c r="E37" i="89"/>
  <c r="E38" i="89"/>
  <c r="E40" i="89"/>
  <c r="E43" i="89"/>
  <c r="E42" i="89"/>
  <c r="E41" i="89"/>
  <c r="O42" i="89"/>
  <c r="O36" i="89"/>
  <c r="O40" i="89"/>
  <c r="O38" i="89"/>
  <c r="O41" i="89"/>
  <c r="O37" i="89"/>
  <c r="O39" i="89"/>
  <c r="O43" i="89"/>
  <c r="J39" i="89"/>
  <c r="J42" i="89"/>
  <c r="J36" i="89"/>
  <c r="J40" i="89"/>
  <c r="J38" i="89"/>
  <c r="J41" i="89"/>
  <c r="J43" i="89"/>
  <c r="J37" i="89"/>
  <c r="I36" i="89"/>
  <c r="I43" i="89"/>
  <c r="I38" i="89"/>
  <c r="I41" i="89"/>
  <c r="I40" i="89"/>
  <c r="I39" i="89"/>
  <c r="I37" i="89"/>
  <c r="I42" i="89"/>
  <c r="E122" i="89"/>
  <c r="E74" i="89"/>
  <c r="E73" i="89"/>
  <c r="E76" i="89"/>
  <c r="E75" i="89"/>
  <c r="E72" i="89"/>
  <c r="E65" i="89"/>
  <c r="M44" i="89" l="1"/>
  <c r="M64" i="89" s="1"/>
  <c r="M66" i="89" s="1"/>
  <c r="M123" i="89" s="1"/>
  <c r="F124" i="89"/>
  <c r="N124" i="89"/>
  <c r="M124" i="89"/>
  <c r="L124" i="89"/>
  <c r="I44" i="89"/>
  <c r="I64" i="89" s="1"/>
  <c r="I66" i="89" s="1"/>
  <c r="G44" i="89"/>
  <c r="G64" i="89" s="1"/>
  <c r="G66" i="89" s="1"/>
  <c r="K44" i="89"/>
  <c r="K64" i="89" s="1"/>
  <c r="K66" i="89" s="1"/>
  <c r="F44" i="89"/>
  <c r="F64" i="89" s="1"/>
  <c r="F66" i="89" s="1"/>
  <c r="F87" i="89" s="1"/>
  <c r="O44" i="89"/>
  <c r="O64" i="89" s="1"/>
  <c r="O66" i="89" s="1"/>
  <c r="L44" i="89"/>
  <c r="L64" i="89" s="1"/>
  <c r="L66" i="89" s="1"/>
  <c r="L85" i="89" s="1"/>
  <c r="N44" i="89"/>
  <c r="N64" i="89" s="1"/>
  <c r="N66" i="89" s="1"/>
  <c r="N87" i="89" s="1"/>
  <c r="J44" i="89"/>
  <c r="J64" i="89" s="1"/>
  <c r="J66" i="89" s="1"/>
  <c r="H44" i="89"/>
  <c r="H64" i="89" s="1"/>
  <c r="H66" i="89" s="1"/>
  <c r="E77" i="89"/>
  <c r="M83" i="89" l="1"/>
  <c r="M87" i="89"/>
  <c r="M86" i="89"/>
  <c r="M82" i="89"/>
  <c r="M85" i="89"/>
  <c r="M84" i="89"/>
  <c r="M88" i="89" s="1"/>
  <c r="M98" i="89" s="1"/>
  <c r="M100" i="89" s="1"/>
  <c r="N84" i="89"/>
  <c r="N82" i="89"/>
  <c r="N83" i="89"/>
  <c r="O82" i="89"/>
  <c r="O123" i="89"/>
  <c r="O84" i="89"/>
  <c r="O83" i="89"/>
  <c r="O86" i="89"/>
  <c r="O87" i="89"/>
  <c r="O85" i="89"/>
  <c r="K123" i="89"/>
  <c r="K83" i="89"/>
  <c r="K85" i="89"/>
  <c r="K87" i="89"/>
  <c r="K86" i="89"/>
  <c r="K82" i="89"/>
  <c r="K84" i="89"/>
  <c r="F123" i="89"/>
  <c r="F84" i="89"/>
  <c r="F83" i="89"/>
  <c r="L84" i="89"/>
  <c r="L83" i="89"/>
  <c r="F82" i="89"/>
  <c r="L87" i="89"/>
  <c r="L86" i="89"/>
  <c r="L123" i="89"/>
  <c r="G123" i="89"/>
  <c r="G82" i="89"/>
  <c r="G85" i="89"/>
  <c r="G87" i="89"/>
  <c r="G83" i="89"/>
  <c r="G84" i="89"/>
  <c r="G86" i="89"/>
  <c r="I123" i="89"/>
  <c r="I84" i="89"/>
  <c r="I82" i="89"/>
  <c r="I83" i="89"/>
  <c r="I87" i="89"/>
  <c r="I85" i="89"/>
  <c r="I86" i="89"/>
  <c r="F86" i="89"/>
  <c r="F85" i="89"/>
  <c r="H123" i="89"/>
  <c r="H83" i="89"/>
  <c r="H84" i="89"/>
  <c r="H86" i="89"/>
  <c r="H87" i="89"/>
  <c r="H82" i="89"/>
  <c r="H85" i="89"/>
  <c r="J123" i="89"/>
  <c r="J84" i="89"/>
  <c r="J87" i="89"/>
  <c r="J86" i="89"/>
  <c r="J83" i="89"/>
  <c r="J82" i="89"/>
  <c r="J85" i="89"/>
  <c r="N86" i="89"/>
  <c r="N123" i="89"/>
  <c r="L82" i="89"/>
  <c r="N85" i="89"/>
  <c r="E36" i="89"/>
  <c r="E124" i="89"/>
  <c r="N88" i="89" l="1"/>
  <c r="N98" i="89" s="1"/>
  <c r="N100" i="89" s="1"/>
  <c r="N125" i="89" s="1"/>
  <c r="N127" i="89" s="1"/>
  <c r="G88" i="89"/>
  <c r="G98" i="89" s="1"/>
  <c r="G100" i="89" s="1"/>
  <c r="G125" i="89" s="1"/>
  <c r="G127" i="89" s="1"/>
  <c r="H88" i="89"/>
  <c r="H98" i="89" s="1"/>
  <c r="H100" i="89" s="1"/>
  <c r="H125" i="89" s="1"/>
  <c r="H127" i="89" s="1"/>
  <c r="F88" i="89"/>
  <c r="F98" i="89" s="1"/>
  <c r="F100" i="89" s="1"/>
  <c r="J88" i="89"/>
  <c r="J98" i="89" s="1"/>
  <c r="J100" i="89" s="1"/>
  <c r="L88" i="89"/>
  <c r="L98" i="89" s="1"/>
  <c r="L100" i="89" s="1"/>
  <c r="I88" i="89"/>
  <c r="I98" i="89" s="1"/>
  <c r="I100" i="89" s="1"/>
  <c r="M125" i="89"/>
  <c r="M127" i="89" s="1"/>
  <c r="M111" i="89"/>
  <c r="M112" i="89" s="1"/>
  <c r="M113" i="89" s="1"/>
  <c r="K88" i="89"/>
  <c r="K98" i="89" s="1"/>
  <c r="K100" i="89" s="1"/>
  <c r="O88" i="89"/>
  <c r="O98" i="89" s="1"/>
  <c r="O100" i="89" s="1"/>
  <c r="E44" i="89"/>
  <c r="E64" i="89" s="1"/>
  <c r="E66" i="89" s="1"/>
  <c r="G111" i="89" l="1"/>
  <c r="G112" i="89" s="1"/>
  <c r="G113" i="89" s="1"/>
  <c r="H111" i="89"/>
  <c r="N111" i="89"/>
  <c r="N112" i="89" s="1"/>
  <c r="N113" i="89" s="1"/>
  <c r="F125" i="89"/>
  <c r="F127" i="89" s="1"/>
  <c r="F111" i="89"/>
  <c r="M114" i="89"/>
  <c r="M115" i="89"/>
  <c r="M116" i="89"/>
  <c r="L125" i="89"/>
  <c r="L127" i="89" s="1"/>
  <c r="L111" i="89"/>
  <c r="I125" i="89"/>
  <c r="I127" i="89" s="1"/>
  <c r="I111" i="89"/>
  <c r="I112" i="89" s="1"/>
  <c r="J125" i="89"/>
  <c r="J127" i="89" s="1"/>
  <c r="J111" i="89"/>
  <c r="J112" i="89" s="1"/>
  <c r="J113" i="89" s="1"/>
  <c r="H112" i="89"/>
  <c r="H113" i="89" s="1"/>
  <c r="O125" i="89"/>
  <c r="O127" i="89" s="1"/>
  <c r="O111" i="89"/>
  <c r="K125" i="89"/>
  <c r="K127" i="89" s="1"/>
  <c r="K111" i="89"/>
  <c r="E87" i="89"/>
  <c r="E123" i="89"/>
  <c r="E84" i="89"/>
  <c r="E82" i="89"/>
  <c r="E83" i="89"/>
  <c r="E86" i="89"/>
  <c r="E85" i="89"/>
  <c r="F112" i="89" l="1"/>
  <c r="F113" i="89" s="1"/>
  <c r="J114" i="89"/>
  <c r="J116" i="89"/>
  <c r="J115" i="89"/>
  <c r="G115" i="89"/>
  <c r="G116" i="89"/>
  <c r="G114" i="89"/>
  <c r="I113" i="89"/>
  <c r="H115" i="89"/>
  <c r="H116" i="89"/>
  <c r="H114" i="89"/>
  <c r="N115" i="89"/>
  <c r="N116" i="89"/>
  <c r="N114" i="89"/>
  <c r="K112" i="89"/>
  <c r="K113" i="89" s="1"/>
  <c r="O112" i="89"/>
  <c r="O113" i="89" s="1"/>
  <c r="L112" i="89"/>
  <c r="L113" i="89" s="1"/>
  <c r="M117" i="89"/>
  <c r="M128" i="89" s="1"/>
  <c r="M129" i="89" s="1"/>
  <c r="I9" i="91" s="1"/>
  <c r="J9" i="91" s="1"/>
  <c r="K9" i="91" s="1"/>
  <c r="E88" i="89"/>
  <c r="E98" i="89" s="1"/>
  <c r="E100" i="89" s="1"/>
  <c r="E126" i="89"/>
  <c r="G117" i="89" l="1"/>
  <c r="G128" i="89" s="1"/>
  <c r="G129" i="89" s="1"/>
  <c r="I4" i="91" s="1"/>
  <c r="J4" i="91" s="1"/>
  <c r="K4" i="91" s="1"/>
  <c r="H117" i="89"/>
  <c r="H128" i="89" s="1"/>
  <c r="H129" i="89" s="1"/>
  <c r="I11" i="91" s="1"/>
  <c r="J11" i="91" s="1"/>
  <c r="K11" i="91" s="1"/>
  <c r="N117" i="89"/>
  <c r="N128" i="89" s="1"/>
  <c r="N129" i="89" s="1"/>
  <c r="I10" i="91" s="1"/>
  <c r="J10" i="91" s="1"/>
  <c r="K10" i="91" s="1"/>
  <c r="J117" i="89"/>
  <c r="J128" i="89" s="1"/>
  <c r="J129" i="89" s="1"/>
  <c r="I5" i="91" s="1"/>
  <c r="J5" i="91" s="1"/>
  <c r="K5" i="91" s="1"/>
  <c r="F114" i="89"/>
  <c r="F116" i="89"/>
  <c r="F115" i="89"/>
  <c r="K116" i="89"/>
  <c r="K115" i="89"/>
  <c r="K114" i="89"/>
  <c r="O116" i="89"/>
  <c r="O115" i="89"/>
  <c r="O114" i="89"/>
  <c r="L114" i="89"/>
  <c r="L115" i="89"/>
  <c r="L116" i="89"/>
  <c r="I114" i="89"/>
  <c r="I116" i="89"/>
  <c r="I115" i="89"/>
  <c r="I6" i="91"/>
  <c r="K6" i="91" s="1"/>
  <c r="J6" i="91" s="1"/>
  <c r="E125" i="89"/>
  <c r="E127" i="89" s="1"/>
  <c r="E111" i="89"/>
  <c r="K117" i="89" l="1"/>
  <c r="K128" i="89" s="1"/>
  <c r="K129" i="89" s="1"/>
  <c r="I7" i="91" s="1"/>
  <c r="J7" i="91" s="1"/>
  <c r="K7" i="91" s="1"/>
  <c r="O117" i="89"/>
  <c r="O128" i="89" s="1"/>
  <c r="O129" i="89" s="1"/>
  <c r="I14" i="91" s="1"/>
  <c r="J14" i="91" s="1"/>
  <c r="K14" i="91" s="1"/>
  <c r="F117" i="89"/>
  <c r="F128" i="89" s="1"/>
  <c r="F129" i="89" s="1"/>
  <c r="I3" i="91" s="1"/>
  <c r="J3" i="91" s="1"/>
  <c r="K3" i="91" s="1"/>
  <c r="L117" i="89"/>
  <c r="L128" i="89" s="1"/>
  <c r="L129" i="89" s="1"/>
  <c r="I8" i="91" s="1"/>
  <c r="J8" i="91" s="1"/>
  <c r="K8" i="91" s="1"/>
  <c r="I117" i="89"/>
  <c r="I128" i="89" s="1"/>
  <c r="I129" i="89" s="1"/>
  <c r="I12" i="91" s="1"/>
  <c r="J12" i="91" s="1"/>
  <c r="K12" i="91" s="1"/>
  <c r="E112" i="89"/>
  <c r="E113" i="89" s="1"/>
  <c r="E114" i="89" s="1"/>
  <c r="E116" i="89" l="1"/>
  <c r="E115" i="89"/>
  <c r="E117" i="89" l="1"/>
  <c r="E128" i="89" s="1"/>
  <c r="E129" i="89" s="1"/>
  <c r="I2" i="91" s="1"/>
  <c r="J2" i="91" l="1"/>
  <c r="K2" i="91" s="1"/>
  <c r="K16" i="91" s="1"/>
</calcChain>
</file>

<file path=xl/sharedStrings.xml><?xml version="1.0" encoding="utf-8"?>
<sst xmlns="http://schemas.openxmlformats.org/spreadsheetml/2006/main" count="428" uniqueCount="170">
  <si>
    <t>TOTAL</t>
  </si>
  <si>
    <t>Composição da Remuneração</t>
  </si>
  <si>
    <t>A</t>
  </si>
  <si>
    <t>B</t>
  </si>
  <si>
    <t>C</t>
  </si>
  <si>
    <t>D</t>
  </si>
  <si>
    <t>E</t>
  </si>
  <si>
    <t>F</t>
  </si>
  <si>
    <t>G</t>
  </si>
  <si>
    <t>Referência</t>
  </si>
  <si>
    <t>MÓDULO 1 - COMPOSIÇÃO DA REMUNERAÇÃO</t>
  </si>
  <si>
    <t>Benefícios Mensais e Diários</t>
  </si>
  <si>
    <t>4.1</t>
  </si>
  <si>
    <t>4.2</t>
  </si>
  <si>
    <t>Provisão para Rescisão</t>
  </si>
  <si>
    <t>Custos Indiretos, Tributos e Lucro</t>
  </si>
  <si>
    <t>Lucro</t>
  </si>
  <si>
    <t>QUADRO RESUMO DO CUSTO POR EMPREGADO</t>
  </si>
  <si>
    <t>Mão de Obra Vinculada à Execução Contratual (Valor por Empregado)</t>
  </si>
  <si>
    <t>Custos Indiretos</t>
  </si>
  <si>
    <t>Data base da categoria</t>
  </si>
  <si>
    <t>Tipo de serviço</t>
  </si>
  <si>
    <t>MÃO DE OBRA</t>
  </si>
  <si>
    <t xml:space="preserve">DATA DE APRESENTAÇÃO DA PROPOSTA </t>
  </si>
  <si>
    <t>MUNICÍPIO/ UF</t>
  </si>
  <si>
    <t>ANO DE CONVENÇÃO COLETIVA DE TRABALHO</t>
  </si>
  <si>
    <t>NÚMERO DE MESES DE EXECUÇÃO CONTRATUAL</t>
  </si>
  <si>
    <t xml:space="preserve">DISCRIMINAÇÃO DOS SERVIÇOS </t>
  </si>
  <si>
    <t>Insumos Diversos</t>
  </si>
  <si>
    <t>MÓDULO 2 - ENCARGOS E BENEFÍCIOS ANUAIS, MENSAIS E DIÁRIOS</t>
  </si>
  <si>
    <t>2.1</t>
  </si>
  <si>
    <t>13º (décimo terceiro) Salário, Férias e Adicional de Férias</t>
  </si>
  <si>
    <t>Encargos Previdenciários (GPS), Fundo de Garantia por Tempo de Serviço (FGTS) e outras contribuições</t>
  </si>
  <si>
    <t>2.2</t>
  </si>
  <si>
    <t>2.3</t>
  </si>
  <si>
    <t>QUADRO RESUMO DO MÓDULO 2: ENCARGOS E BENEFÍCIOS ANUAIS, MENSAIS E DIÁRIOS</t>
  </si>
  <si>
    <t>Encargos e Benefícios Anuais, Mensais e Diários</t>
  </si>
  <si>
    <t>GPS, FGTS e outras contribuições</t>
  </si>
  <si>
    <t>Benefícios Mensais e Diários Total</t>
  </si>
  <si>
    <t>MÓDULO 3 - PROVISÃO PARA RESCISÃO</t>
  </si>
  <si>
    <t>MÓDULO 4 - CUSTO DE REPOSIÇÃO DO PROFISSIONAL AUSENTE</t>
  </si>
  <si>
    <t xml:space="preserve">Ausências Legais </t>
  </si>
  <si>
    <t>Intrajornada</t>
  </si>
  <si>
    <t>QUADRO RESUMO DO MÓDULO 4: CUSTO DE REPOSIÇÃO DO PROFISSIONAL AUSENTE</t>
  </si>
  <si>
    <t>CUSTO DE REPOSIÇÃO DO PROFISSIONAL AUSENTE</t>
  </si>
  <si>
    <t>MÓDULO 5 - INSUMOS DIVERSOS</t>
  </si>
  <si>
    <t>MÓDULO 6 - CUSTOS INDIRETOS, TRIBUTOS E LUCRO</t>
  </si>
  <si>
    <t>(A+B+C+D+E)</t>
  </si>
  <si>
    <t>DADOS PARA COMPOSIÇÃO DOS CUSTOS REFERENTE À MÃO DE OBRA</t>
  </si>
  <si>
    <t>Classificação Brasileira de Ocupação (CBO)</t>
  </si>
  <si>
    <t>Categoria profissional (vinculada à execução contratual )</t>
  </si>
  <si>
    <t>TRIBUTOS FEDERAIS - COFINS</t>
  </si>
  <si>
    <t>TRIBUTOS FEDERAIS - PIS</t>
  </si>
  <si>
    <t>TRIBUTOS MUNICIPAIS - ISS</t>
  </si>
  <si>
    <t>VALOR TOTAL (MENSAL POR EMPREGADO)</t>
  </si>
  <si>
    <t>PLANILHA DE CUSTOS E FORMAÇÃO DE PREÇOS</t>
  </si>
  <si>
    <t>Percentual</t>
  </si>
  <si>
    <t>H</t>
  </si>
  <si>
    <t>SUBTOTAL</t>
  </si>
  <si>
    <t xml:space="preserve">Uniformes </t>
  </si>
  <si>
    <t>Grupo</t>
  </si>
  <si>
    <t>Item</t>
  </si>
  <si>
    <t>Descrição</t>
  </si>
  <si>
    <t>CATSER</t>
  </si>
  <si>
    <t>Valor Unitário de Referência</t>
  </si>
  <si>
    <t>Valor Mensal de Referência</t>
  </si>
  <si>
    <t>Valor Anual de Referência</t>
  </si>
  <si>
    <t>Incidência de GPS, FGTS e outras contribuições sobre o Aviso Prévio Trabalhado - Memória de Cálculo: Encargos sobre APT = % do Submódulo 2.2 × % Aviso Prévio Trabalhado</t>
  </si>
  <si>
    <t>Multa do FGTS e contribuição social sobre o Aviso Prévio Trabalhado - Memória de Cáluclo: Multa e CS sobre FGTS = APT × 0,08 × 0,4 × 100 (Índice que demonstra o custo estimado com a Multa do FGTS e contribuição social sobre o Aviso Prévio Trabalhado - Alíquota do FGTS: 8%, Alíquota da Multa sobre o saldo do FGTS: 40%)</t>
  </si>
  <si>
    <t>Substituto nas Ausências Legais</t>
  </si>
  <si>
    <t>Substituto na cobertura Férias - Arts. 129 e 130, inc. I, da CLT. (Será pago somente após o 1º ano de contrato)</t>
  </si>
  <si>
    <t>Substituto na Intrajornada</t>
  </si>
  <si>
    <t>UNIFORME</t>
  </si>
  <si>
    <t>Vida útil (Meses)</t>
  </si>
  <si>
    <t>Quantidade Anualmente</t>
  </si>
  <si>
    <t>Valor total</t>
  </si>
  <si>
    <t>Crachá de identificação</t>
  </si>
  <si>
    <t>Valor Unitário</t>
  </si>
  <si>
    <t>Incidência do FGTS Sobre o Aviso Prévio Indenizado - Memória de Cálculo: FGTS sobre API = API × 0,08 × 100 → % FGTS sobre API = 0,0042 × 0,08 × 100 ≅ 0,03% (Alíquota do FGTS: 8%)</t>
  </si>
  <si>
    <t>Substituto na cobertura de Outras Ausências (doença). Memória de Cálculo: LM = (5 ÷ 30 ÷ 12) × 100 ≅ 1,39% (Estimativa de 5 dias de licença por ano)</t>
  </si>
  <si>
    <t>Base de cálculo para tributos = Módulo 01 + Módulo 02 + Módulo 03 + Módulo 04 + Módulo 05 + Custos Indiretos + Lucro</t>
  </si>
  <si>
    <t>Substituto na cobertura de Afastamento Maternidade - Art. 7º, XIX, CF/88 e 10, § 1º da CLT - Memória de Cálculo: LM = 1/12 + (1/3 x 1/12) x 44% x 20% x (4/12) ≅ 0,33%. Provisão de férias = 1/12; Provisão mensal de 1/3 de férias = (1/13*1/12); Anuário Estatístico do RAIS indica que 44% dos empregados são mulheres (filtro: Ceará, serviços, ano 2020). Estima-se que é concedido 20% de salário maternidade em relação a quantidade de mulheres empregadas. Período de 4 meses de licença durante um ano = 4/12.</t>
  </si>
  <si>
    <t>INSS (art. 22, I, Lei 8.212/1991)</t>
  </si>
  <si>
    <t>SALÁRIO EDUCAÇÃO (art. 15, Lei nº 9.424/1996 e art. 1º, § 1º, Decreto 6.003/2006)</t>
  </si>
  <si>
    <t>SESC OU SESI (art. 30, Lei 8.036/1990)</t>
  </si>
  <si>
    <t>SENAI - SENAC (Decreto 2.318/1986)</t>
  </si>
  <si>
    <t>SEBRAE (Lei 8.029/1990)</t>
  </si>
  <si>
    <t>INCRA (arts. 1º e 2º, DL nº 1.146/1970)</t>
  </si>
  <si>
    <t>FGTS (art. 15, Lei 8.030/1990)</t>
  </si>
  <si>
    <t xml:space="preserve">SAT = RISCOS AMBIENTAIS DO TRABALHO - RAT (art. 22, II, Lei nº 8.212/1991 e Anexo V, Decreto 6.957/2009) x FATOR ACIDENTÁRIO DE PREVENÇÃO - FAP (Decreto 6.957/2009) - (Enviar Gfip + Fapweb para conferência) </t>
  </si>
  <si>
    <t>13º (décimo terceiro) Salário - Memória de Cálculo: 1/12(meses) x  100 % = 8,33% (art. 7º, VIII, CF)</t>
  </si>
  <si>
    <t>Aviso Prévio Indenizado - Memória de Cálculo: (1 mês não trabalhado / 12 meses) X 5% de rotatividade anual ≅ 0,42% (art. 487, § 1º CLT)</t>
  </si>
  <si>
    <t>Substituto na cobertura da Licença Paternidade - Memória de Cálculo: LP = (5 ÷ 30 ÷ 12) × 1,5% × 100 ≅ 0,02%. Estimativa de 5 dias de ausência legal por ano (período da licença paternidade). Dados do IBGE: 1,5% é a média de trabalhadores que são pais durante o ano) (art. 7º, XIX, CF).</t>
  </si>
  <si>
    <t>Substituto na cobertura das Ausências Legais - Memória de Cálculo: AL = (1 ÷ 30 ÷ 12) × 100 ≅ 0,28% (Estimativa de 1 dia de licença por ano com falta justificada: doação de sangue, retirar título de eleitor, falecimento de cônjuge etc) (art. 473, CLT).</t>
  </si>
  <si>
    <t>Substituto na cobertura da Ausência por Acidente de Trabalho - Memória de Cálculo: AT = (1 ÷ 12) × 0,0178 × 100 ≅ 0,15% (Estimativa de 1 (uma) licença de 30 (trinta) dias por ano e de 1,78% dos empregados usufruindo 30 (trinta) dias de licença por ano) (art. 131, CLT c/c art. 27, Decreto nº 89.312/1984).</t>
  </si>
  <si>
    <t>Salário Base (cláusula terceita da CCT - 5ª faixa)</t>
  </si>
  <si>
    <t>44h semanais</t>
  </si>
  <si>
    <t>Terceirização de mão de obra</t>
  </si>
  <si>
    <t>Calça ou saia na altura do joelho, em tecido microfibra, na cor preto ou azul marinho.</t>
  </si>
  <si>
    <t>Camisas de algodão ou seda, manga curta, na cor branca, que contenha o emblema da empresa de forma discreta.</t>
  </si>
  <si>
    <t>Par de sapatos social pretos ou marrom tipo coturno (par)</t>
  </si>
  <si>
    <t>Pares de Meias cor preta para homens e Pares de meias finas, na cor da pele para mulheres</t>
  </si>
  <si>
    <t>Cinto na cor preta.</t>
  </si>
  <si>
    <t>Recepcionista</t>
  </si>
  <si>
    <t>Jornada de Trabalho</t>
  </si>
  <si>
    <t>Fortaleza/CE</t>
  </si>
  <si>
    <t>Copeira</t>
  </si>
  <si>
    <t>Auxiliar Administrativo</t>
  </si>
  <si>
    <t>Motorista categoria D</t>
  </si>
  <si>
    <t>Lavador de Veículos</t>
  </si>
  <si>
    <t>Tratador de Animais</t>
  </si>
  <si>
    <t>Auxiliar Operacional</t>
  </si>
  <si>
    <t>Juazeiro do Norte/CE</t>
  </si>
  <si>
    <t>Nº DO PROCESSO: 08270.004619/2024-09</t>
  </si>
  <si>
    <t>Fortaleza/CE  e Juazeiro do Norte/CE</t>
  </si>
  <si>
    <t>4221-05</t>
  </si>
  <si>
    <t>5134-25</t>
  </si>
  <si>
    <t>5199-35</t>
  </si>
  <si>
    <t>7825-10</t>
  </si>
  <si>
    <t>9914-05</t>
  </si>
  <si>
    <t>CE000127/2024, CE001194/2023 e CE000173/2023-2024</t>
  </si>
  <si>
    <t>6230-20</t>
  </si>
  <si>
    <t>4110-10</t>
  </si>
  <si>
    <t>Férias e Adicional de Férias - Memória de Cálculo: Item 14 do Anexo XII da IN nº 05/2017 (conta-depósito vinculada)</t>
  </si>
  <si>
    <t xml:space="preserve">Adicional de Periculosidade conforme Laudo </t>
  </si>
  <si>
    <t>Substituto na cobertura de Intervalo para repouso ou alimentação</t>
  </si>
  <si>
    <t/>
  </si>
  <si>
    <t>Lavador de Carros</t>
  </si>
  <si>
    <t>Insumos para lavagem dos carros</t>
  </si>
  <si>
    <t>Sob demanda</t>
  </si>
  <si>
    <t>Diária</t>
  </si>
  <si>
    <t>-</t>
  </si>
  <si>
    <t>Postos</t>
  </si>
  <si>
    <t>ITEM</t>
  </si>
  <si>
    <t>PRODUTO</t>
  </si>
  <si>
    <t>UNIDADE</t>
  </si>
  <si>
    <t>LITRO</t>
  </si>
  <si>
    <t>CERA AUTOMOTIVA COM 1,5L</t>
  </si>
  <si>
    <t>FLANELA MICROFIBRA</t>
  </si>
  <si>
    <t>FLANELA PANO DE LIMPEZA</t>
  </si>
  <si>
    <t>LIMPA ALUMINIO</t>
  </si>
  <si>
    <t>PRETINHO PNEU 1,5L</t>
  </si>
  <si>
    <t>ESPONJA MICROFIBRA</t>
  </si>
  <si>
    <t>BLOCO DE ESPONJA</t>
  </si>
  <si>
    <t>MATERIAL DE LIMPEZA DE VIATURAS</t>
  </si>
  <si>
    <t>SHAMPOO NEUTRO CONCENTRADO</t>
  </si>
  <si>
    <t>QUANTIDADE FORTALEZA</t>
  </si>
  <si>
    <t>QUANTIDADE JUAZEIRO DO NORTE</t>
  </si>
  <si>
    <t>VALOR UNITÁRIO</t>
  </si>
  <si>
    <t>VALOR FORTALEZA</t>
  </si>
  <si>
    <t>VALOR JUAZEIRO DO NORTE</t>
  </si>
  <si>
    <t>Vale Transporte - Memória de Cálculo: [R$ 4,50 (Fortaleza/CE) ou R$ 4,00 (Juazeiro do Norte/CE) x dias trabalhados (22 dias para jornada de 44h semanais) x 2 (ida e volta) - desconto de 6% do salário base para regime de 44h semananis (Cláusula décima quinta, parágrafos primeiro da CCT)</t>
  </si>
  <si>
    <t>Auxílio Creche  - Memória de Cálculo: [R$ 246,47 x 6 meses ÷ 120 meses (duração máxima do contrato) x 1% probabilidade de ocorrer nascimentos durante execução contratual (Cláusula décima oitava da CCT)</t>
  </si>
  <si>
    <t>Cesta Básica (Cláusula décima terceira da CCT, cláusula sétima da CCT))</t>
  </si>
  <si>
    <t>Auxílio Morte/Funeral ou Seguro de Vida - Memória de Cálculo: [ 3 x salário base x 1% probabilidade de ocorrer falecimentos durante execução contratual (Cláusula décima sétima da CCT) ou verba indenizatória de 40 salários mínimos nos casos de morte ou invalidez - claúsula décima primeira da CCT do motorista ou lavador)</t>
  </si>
  <si>
    <t>Tratador de Animais*</t>
  </si>
  <si>
    <t>Salário normativo da categoria profissional para jornada de 44h/semanais</t>
  </si>
  <si>
    <t>*O valor do Salário do Tratador de Animais sofreu reajuste de 3,71% (INPC/IBGE) conforme Cláusula Décima Primeira da CCT bem como reajuste do auxílio alimentação para R$ 12,00</t>
  </si>
  <si>
    <t>01/01/2024 e 01/08/2024</t>
  </si>
  <si>
    <t>Plano de Saúde - Memória de Cálculo: [R$ 94,21 ÷ 2  (Cláusula décima sexta, parágrafo primeiro da CCT)</t>
  </si>
  <si>
    <t>Vale-Refeição - Memória de Cálculo: [Valor x dias trabalhados (22 dias para jornada de 44h semanais - 1% ou 6,25% de desconto do valor total das refeições recebidas] (Cláusula décima quarta, parágrafos segundo e nono da CCT)</t>
  </si>
  <si>
    <t>Local de Execução</t>
  </si>
  <si>
    <t>Fortaleza</t>
  </si>
  <si>
    <t>Juazeiro do Norte</t>
  </si>
  <si>
    <t>30h semanais</t>
  </si>
  <si>
    <t>**A jornada de trabalho do Auxiliar Operacional será de 30h/semanais, sendo feito assim a proporção do salário base de R$ 1.580,23</t>
  </si>
  <si>
    <t>Aviso Prévio Trabalhado - Memória de Cálculo: APT = (7/30) ÷ 12 × 100 ∴ % APT ≅ 1,94% (22/30 = proporção de dias de aviso prévio a que o empregado tem que trabalhar; 12 = número de meses do ano) (art. 487, § 1º CLT)</t>
  </si>
  <si>
    <t>Multa do FGTS e contribuição social sobre o aviso prévio indenizado - Memória de Cálculo: Multa sobre FGTS = [1 + 2/12 + (1/3 x 1/12)] x 0,08 × 0,4 × 0,9 × 100 ≅ 3,44% (1 = Remuneração mensal; 2/12 = Estimativa de 13º e férias; (1/3 x 1/12) = Estimativa de 1/3 de férias; 8% = alíquota do FGTS/ 40% = Alíquota da Multa sobre o saldo do FGTS).</t>
  </si>
  <si>
    <t>Qtde</t>
  </si>
  <si>
    <t>LICITAÇÃO (PREGÃO ELETRÔNICO) Nº: 90007/2024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</si>
</sst>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"/>
    <numFmt numFmtId="167" formatCode="[$R$-416]\ #,##0.00;[Red]\-[$R$-416]\ #,##0.00"/>
    <numFmt numFmtId="168" formatCode="0.000%"/>
    <numFmt numFmtId="169" formatCode="_-* #,##0.00_-;\-* #,##0.00_-;_-* \-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10" fillId="0" borderId="0"/>
    <xf numFmtId="0" fontId="11" fillId="0" borderId="0"/>
    <xf numFmtId="169" fontId="12" fillId="0" borderId="0" applyBorder="0" applyProtection="0"/>
    <xf numFmtId="44" fontId="1" fillId="0" borderId="0" applyFont="0" applyFill="0" applyBorder="0" applyAlignment="0" applyProtection="0"/>
  </cellStyleXfs>
  <cellXfs count="155">
    <xf numFmtId="0" fontId="0" fillId="0" borderId="0" xfId="0"/>
    <xf numFmtId="10" fontId="5" fillId="0" borderId="1" xfId="1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0" fontId="5" fillId="0" borderId="0" xfId="1" applyNumberFormat="1" applyFont="1" applyFill="1"/>
    <xf numFmtId="10" fontId="6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/>
    <xf numFmtId="10" fontId="5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6" fillId="0" borderId="0" xfId="0" applyNumberFormat="1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5" fontId="5" fillId="0" borderId="1" xfId="0" applyNumberFormat="1" applyFont="1" applyBorder="1" applyAlignment="1">
      <alignment horizontal="center" vertical="center"/>
    </xf>
    <xf numFmtId="44" fontId="6" fillId="0" borderId="0" xfId="3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5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center" wrapText="1"/>
    </xf>
    <xf numFmtId="0" fontId="8" fillId="2" borderId="1" xfId="0" applyFont="1" applyFill="1" applyBorder="1" applyAlignment="1">
      <alignment wrapText="1"/>
    </xf>
    <xf numFmtId="44" fontId="8" fillId="2" borderId="1" xfId="3" applyFont="1" applyFill="1" applyBorder="1" applyAlignment="1">
      <alignment horizontal="center" vertical="center" wrapText="1"/>
    </xf>
    <xf numFmtId="0" fontId="8" fillId="2" borderId="1" xfId="3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0" fillId="2" borderId="1" xfId="3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0" fontId="6" fillId="0" borderId="11" xfId="0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165" fontId="6" fillId="3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0" xfId="0" applyFont="1" applyFill="1"/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5" fontId="5" fillId="0" borderId="1" xfId="3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165" fontId="5" fillId="0" borderId="1" xfId="3" applyNumberFormat="1" applyFont="1" applyBorder="1" applyAlignment="1">
      <alignment horizontal="center"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6" fillId="0" borderId="0" xfId="0" quotePrefix="1" applyFont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vertical="center"/>
    </xf>
    <xf numFmtId="165" fontId="0" fillId="2" borderId="1" xfId="3" applyNumberFormat="1" applyFont="1" applyFill="1" applyBorder="1" applyAlignment="1">
      <alignment horizontal="center"/>
    </xf>
    <xf numFmtId="165" fontId="0" fillId="2" borderId="1" xfId="3" applyNumberFormat="1" applyFont="1" applyFill="1" applyBorder="1"/>
    <xf numFmtId="10" fontId="5" fillId="2" borderId="1" xfId="1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wrapText="1"/>
    </xf>
    <xf numFmtId="165" fontId="7" fillId="2" borderId="0" xfId="0" applyNumberFormat="1" applyFont="1" applyFill="1" applyAlignment="1">
      <alignment horizontal="center" wrapText="1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/>
    <xf numFmtId="165" fontId="7" fillId="4" borderId="1" xfId="3" applyNumberFormat="1" applyFont="1" applyFill="1" applyBorder="1" applyAlignment="1">
      <alignment horizontal="center"/>
    </xf>
    <xf numFmtId="165" fontId="7" fillId="4" borderId="1" xfId="3" applyNumberFormat="1" applyFont="1" applyFill="1" applyBorder="1"/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44" fontId="8" fillId="0" borderId="1" xfId="3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44" fontId="9" fillId="5" borderId="1" xfId="0" applyNumberFormat="1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44" fontId="7" fillId="5" borderId="1" xfId="3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167" fontId="5" fillId="0" borderId="10" xfId="0" applyNumberFormat="1" applyFont="1" applyBorder="1" applyAlignment="1">
      <alignment horizontal="center" vertical="center"/>
    </xf>
    <xf numFmtId="167" fontId="5" fillId="0" borderId="17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</cellXfs>
  <cellStyles count="15">
    <cellStyle name="Moeda" xfId="3" builtinId="4"/>
    <cellStyle name="Moeda 2" xfId="5" xr:uid="{00000000-0005-0000-0000-000001000000}"/>
    <cellStyle name="Moeda 2 2" xfId="8" xr:uid="{71324776-1CE7-4D5A-AD93-00E057649C0E}"/>
    <cellStyle name="Moeda 2 4" xfId="14" xr:uid="{486EFABB-29CF-43FF-A5E2-827ACAB28F03}"/>
    <cellStyle name="Moeda 3" xfId="7" xr:uid="{8E7A64C3-CBEF-4B22-BF48-35B868276699}"/>
    <cellStyle name="Normal" xfId="0" builtinId="0"/>
    <cellStyle name="Normal 2" xfId="4" xr:uid="{00000000-0005-0000-0000-000003000000}"/>
    <cellStyle name="Normal 2 2" xfId="11" xr:uid="{3D2F27E6-2235-4265-8A9F-50E26B085931}"/>
    <cellStyle name="Normal 3" xfId="2" xr:uid="{00000000-0005-0000-0000-000004000000}"/>
    <cellStyle name="Normal 3 2" xfId="12" xr:uid="{CFDF936F-CB83-4226-9B71-A951411577AF}"/>
    <cellStyle name="Normal 4" xfId="6" xr:uid="{00000000-0005-0000-0000-000005000000}"/>
    <cellStyle name="Normal 4 2" xfId="9" xr:uid="{9030ADC0-089B-46DF-A08A-EA08EEA83555}"/>
    <cellStyle name="Porcentagem" xfId="1" builtinId="5"/>
    <cellStyle name="Vírgula 2" xfId="13" xr:uid="{89DD20DA-97AE-4C3B-AAD1-49CAF6B0E80D}"/>
    <cellStyle name="Vírgula 3" xfId="10" xr:uid="{70745D89-FD51-4AE0-902E-B936497FA185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CEF17-A864-495A-A1EC-2954EC74E1DE}">
  <dimension ref="A1:K16"/>
  <sheetViews>
    <sheetView view="pageBreakPreview" zoomScale="145" zoomScaleNormal="130" zoomScaleSheetLayoutView="145" workbookViewId="0">
      <selection activeCell="I15" sqref="I15"/>
    </sheetView>
  </sheetViews>
  <sheetFormatPr defaultColWidth="9.140625" defaultRowHeight="15" x14ac:dyDescent="0.25"/>
  <cols>
    <col min="1" max="1" width="6.5703125" style="68" bestFit="1" customWidth="1"/>
    <col min="2" max="2" width="5.140625" style="68" bestFit="1" customWidth="1"/>
    <col min="3" max="3" width="30.5703125" style="71" bestFit="1" customWidth="1"/>
    <col min="4" max="4" width="7.5703125" style="69" bestFit="1" customWidth="1"/>
    <col min="5" max="5" width="6.85546875" style="72" bestFit="1" customWidth="1"/>
    <col min="6" max="6" width="12.85546875" style="68" customWidth="1"/>
    <col min="7" max="7" width="16.85546875" style="68" customWidth="1"/>
    <col min="8" max="8" width="5.42578125" style="68" bestFit="1" customWidth="1"/>
    <col min="9" max="10" width="14.5703125" style="68" customWidth="1"/>
    <col min="11" max="11" width="15.5703125" style="69" bestFit="1" customWidth="1"/>
    <col min="12" max="16384" width="9.140625" style="68"/>
  </cols>
  <sheetData>
    <row r="1" spans="1:11" ht="30" x14ac:dyDescent="0.25">
      <c r="A1" s="96" t="s">
        <v>60</v>
      </c>
      <c r="B1" s="96" t="s">
        <v>61</v>
      </c>
      <c r="C1" s="97" t="s">
        <v>62</v>
      </c>
      <c r="D1" s="96" t="s">
        <v>63</v>
      </c>
      <c r="E1" s="96" t="s">
        <v>132</v>
      </c>
      <c r="F1" s="96" t="s">
        <v>104</v>
      </c>
      <c r="G1" s="96" t="s">
        <v>161</v>
      </c>
      <c r="H1" s="96" t="s">
        <v>168</v>
      </c>
      <c r="I1" s="98" t="s">
        <v>64</v>
      </c>
      <c r="J1" s="98" t="s">
        <v>65</v>
      </c>
      <c r="K1" s="98" t="s">
        <v>66</v>
      </c>
    </row>
    <row r="2" spans="1:11" x14ac:dyDescent="0.25">
      <c r="A2" s="99">
        <v>1</v>
      </c>
      <c r="B2" s="20">
        <v>1</v>
      </c>
      <c r="C2" s="70" t="s">
        <v>103</v>
      </c>
      <c r="D2" s="20">
        <v>8729</v>
      </c>
      <c r="E2" s="20">
        <v>3</v>
      </c>
      <c r="F2" s="20" t="s">
        <v>96</v>
      </c>
      <c r="G2" s="20" t="s">
        <v>162</v>
      </c>
      <c r="H2" s="20">
        <v>12</v>
      </c>
      <c r="I2" s="46">
        <f>'POSTOS DE SERVIÇO'!E129</f>
        <v>5890.6089999999995</v>
      </c>
      <c r="J2" s="46">
        <f t="shared" ref="J2:J5" si="0">I2*E2</f>
        <v>17671.826999999997</v>
      </c>
      <c r="K2" s="46">
        <f>J2*H2</f>
        <v>212061.92399999997</v>
      </c>
    </row>
    <row r="3" spans="1:11" x14ac:dyDescent="0.25">
      <c r="A3" s="100"/>
      <c r="B3" s="20">
        <v>2</v>
      </c>
      <c r="C3" s="70" t="s">
        <v>106</v>
      </c>
      <c r="D3" s="20">
        <v>14397</v>
      </c>
      <c r="E3" s="20">
        <v>1</v>
      </c>
      <c r="F3" s="20" t="s">
        <v>96</v>
      </c>
      <c r="G3" s="20" t="s">
        <v>162</v>
      </c>
      <c r="H3" s="20">
        <v>12</v>
      </c>
      <c r="I3" s="46">
        <f>'POSTOS DE SERVIÇO'!F129</f>
        <v>5447.3220000000001</v>
      </c>
      <c r="J3" s="46">
        <f t="shared" si="0"/>
        <v>5447.3220000000001</v>
      </c>
      <c r="K3" s="46">
        <f t="shared" ref="K3:K7" si="1">J3*H3</f>
        <v>65367.864000000001</v>
      </c>
    </row>
    <row r="4" spans="1:11" x14ac:dyDescent="0.25">
      <c r="A4" s="100"/>
      <c r="B4" s="20">
        <v>3</v>
      </c>
      <c r="C4" s="70" t="s">
        <v>107</v>
      </c>
      <c r="D4" s="20">
        <v>5380</v>
      </c>
      <c r="E4" s="20">
        <v>8</v>
      </c>
      <c r="F4" s="20" t="s">
        <v>96</v>
      </c>
      <c r="G4" s="20" t="s">
        <v>162</v>
      </c>
      <c r="H4" s="20">
        <v>12</v>
      </c>
      <c r="I4" s="46">
        <f>'POSTOS DE SERVIÇO'!G129</f>
        <v>5890.6089999999995</v>
      </c>
      <c r="J4" s="46">
        <f t="shared" si="0"/>
        <v>47124.871999999996</v>
      </c>
      <c r="K4" s="46">
        <f t="shared" si="1"/>
        <v>565498.46399999992</v>
      </c>
    </row>
    <row r="5" spans="1:11" x14ac:dyDescent="0.25">
      <c r="A5" s="100"/>
      <c r="B5" s="20">
        <v>4</v>
      </c>
      <c r="C5" s="70" t="s">
        <v>110</v>
      </c>
      <c r="D5" s="20">
        <v>25143</v>
      </c>
      <c r="E5" s="20">
        <v>1</v>
      </c>
      <c r="F5" s="20" t="s">
        <v>96</v>
      </c>
      <c r="G5" s="20" t="s">
        <v>162</v>
      </c>
      <c r="H5" s="20">
        <v>12</v>
      </c>
      <c r="I5" s="73">
        <f>'POSTOS DE SERVIÇO'!J129</f>
        <v>5447.6419999999998</v>
      </c>
      <c r="J5" s="46">
        <f t="shared" si="0"/>
        <v>5447.6419999999998</v>
      </c>
      <c r="K5" s="46">
        <f t="shared" si="1"/>
        <v>65371.703999999998</v>
      </c>
    </row>
    <row r="6" spans="1:11" x14ac:dyDescent="0.25">
      <c r="A6" s="100"/>
      <c r="B6" s="20">
        <v>5</v>
      </c>
      <c r="C6" s="70" t="s">
        <v>110</v>
      </c>
      <c r="D6" s="20">
        <v>25143</v>
      </c>
      <c r="E6" s="20">
        <v>1</v>
      </c>
      <c r="F6" s="20" t="s">
        <v>130</v>
      </c>
      <c r="G6" s="20" t="s">
        <v>162</v>
      </c>
      <c r="H6" s="20">
        <v>66</v>
      </c>
      <c r="I6" s="73">
        <f>('POSTOS DE SERVIÇO'!J129)/30</f>
        <v>181.58806666666666</v>
      </c>
      <c r="J6" s="46">
        <f>K6/12</f>
        <v>998.73436666666657</v>
      </c>
      <c r="K6" s="46">
        <f>I6*H6</f>
        <v>11984.812399999999</v>
      </c>
    </row>
    <row r="7" spans="1:11" x14ac:dyDescent="0.25">
      <c r="A7" s="100"/>
      <c r="B7" s="20">
        <v>6</v>
      </c>
      <c r="C7" s="70" t="s">
        <v>111</v>
      </c>
      <c r="D7" s="67">
        <v>25631</v>
      </c>
      <c r="E7" s="20">
        <v>1</v>
      </c>
      <c r="F7" s="20" t="s">
        <v>164</v>
      </c>
      <c r="G7" s="20" t="s">
        <v>162</v>
      </c>
      <c r="H7" s="20">
        <v>12</v>
      </c>
      <c r="I7" s="73">
        <f>'POSTOS DE SERVIÇO'!K129</f>
        <v>4414.318409090909</v>
      </c>
      <c r="J7" s="46">
        <f t="shared" ref="J7:J12" si="2">I7*E7</f>
        <v>4414.318409090909</v>
      </c>
      <c r="K7" s="46">
        <f t="shared" si="1"/>
        <v>52971.820909090908</v>
      </c>
    </row>
    <row r="8" spans="1:11" x14ac:dyDescent="0.25">
      <c r="A8" s="100"/>
      <c r="B8" s="20">
        <v>7</v>
      </c>
      <c r="C8" s="70" t="s">
        <v>103</v>
      </c>
      <c r="D8" s="20">
        <v>8729</v>
      </c>
      <c r="E8" s="20">
        <v>1</v>
      </c>
      <c r="F8" s="20" t="s">
        <v>96</v>
      </c>
      <c r="G8" s="20" t="s">
        <v>163</v>
      </c>
      <c r="H8" s="20">
        <v>12</v>
      </c>
      <c r="I8" s="73">
        <f>'POSTOS DE SERVIÇO'!L129</f>
        <v>5861.9089999999997</v>
      </c>
      <c r="J8" s="46">
        <f t="shared" si="2"/>
        <v>5861.9089999999997</v>
      </c>
      <c r="K8" s="46">
        <f>J8*H8</f>
        <v>70342.907999999996</v>
      </c>
    </row>
    <row r="9" spans="1:11" x14ac:dyDescent="0.25">
      <c r="A9" s="100"/>
      <c r="B9" s="20">
        <v>8</v>
      </c>
      <c r="C9" s="70" t="s">
        <v>106</v>
      </c>
      <c r="D9" s="20">
        <v>14397</v>
      </c>
      <c r="E9" s="20">
        <v>1</v>
      </c>
      <c r="F9" s="20" t="s">
        <v>96</v>
      </c>
      <c r="G9" s="20" t="s">
        <v>163</v>
      </c>
      <c r="H9" s="20">
        <v>12</v>
      </c>
      <c r="I9" s="73">
        <f>'POSTOS DE SERVIÇO'!M129</f>
        <v>5418.5820000000003</v>
      </c>
      <c r="J9" s="46">
        <f t="shared" si="2"/>
        <v>5418.5820000000003</v>
      </c>
      <c r="K9" s="46">
        <f>J9*H9</f>
        <v>65022.984000000004</v>
      </c>
    </row>
    <row r="10" spans="1:11" x14ac:dyDescent="0.25">
      <c r="A10" s="101"/>
      <c r="B10" s="20">
        <v>9</v>
      </c>
      <c r="C10" s="70" t="s">
        <v>107</v>
      </c>
      <c r="D10" s="20">
        <v>5380</v>
      </c>
      <c r="E10" s="20">
        <v>3</v>
      </c>
      <c r="F10" s="20" t="s">
        <v>96</v>
      </c>
      <c r="G10" s="20" t="s">
        <v>163</v>
      </c>
      <c r="H10" s="20">
        <v>12</v>
      </c>
      <c r="I10" s="73">
        <f>'POSTOS DE SERVIÇO'!N129</f>
        <v>5861.9089999999997</v>
      </c>
      <c r="J10" s="46">
        <f t="shared" si="2"/>
        <v>17585.726999999999</v>
      </c>
      <c r="K10" s="46">
        <f>J10*H10</f>
        <v>211028.72399999999</v>
      </c>
    </row>
    <row r="11" spans="1:11" ht="15.95" customHeight="1" x14ac:dyDescent="0.25">
      <c r="A11" s="99">
        <v>2</v>
      </c>
      <c r="B11" s="20">
        <v>10</v>
      </c>
      <c r="C11" s="70" t="s">
        <v>108</v>
      </c>
      <c r="D11" s="67">
        <v>15008</v>
      </c>
      <c r="E11" s="20">
        <v>1</v>
      </c>
      <c r="F11" s="20" t="s">
        <v>96</v>
      </c>
      <c r="G11" s="20" t="s">
        <v>162</v>
      </c>
      <c r="H11" s="20">
        <v>12</v>
      </c>
      <c r="I11" s="73">
        <f>'POSTOS DE SERVIÇO'!H129</f>
        <v>6834.7619999999988</v>
      </c>
      <c r="J11" s="46">
        <f t="shared" si="2"/>
        <v>6834.7619999999988</v>
      </c>
      <c r="K11" s="46">
        <f>J11*H11</f>
        <v>82017.143999999986</v>
      </c>
    </row>
    <row r="12" spans="1:11" ht="15.95" customHeight="1" x14ac:dyDescent="0.25">
      <c r="A12" s="100"/>
      <c r="B12" s="20">
        <v>11</v>
      </c>
      <c r="C12" s="70" t="s">
        <v>127</v>
      </c>
      <c r="D12" s="67">
        <v>13544</v>
      </c>
      <c r="E12" s="20">
        <v>1</v>
      </c>
      <c r="F12" s="20" t="s">
        <v>96</v>
      </c>
      <c r="G12" s="20" t="s">
        <v>162</v>
      </c>
      <c r="H12" s="20">
        <v>12</v>
      </c>
      <c r="I12" s="73">
        <f>'POSTOS DE SERVIÇO'!I129</f>
        <v>5515.8039999999992</v>
      </c>
      <c r="J12" s="46">
        <f t="shared" si="2"/>
        <v>5515.8039999999992</v>
      </c>
      <c r="K12" s="46">
        <f>J12*H12</f>
        <v>66189.647999999986</v>
      </c>
    </row>
    <row r="13" spans="1:11" ht="15.95" customHeight="1" x14ac:dyDescent="0.25">
      <c r="A13" s="100"/>
      <c r="B13" s="20">
        <v>12</v>
      </c>
      <c r="C13" s="70" t="s">
        <v>128</v>
      </c>
      <c r="D13" s="67">
        <v>479042</v>
      </c>
      <c r="E13" s="20" t="s">
        <v>131</v>
      </c>
      <c r="F13" s="20" t="s">
        <v>129</v>
      </c>
      <c r="G13" s="20" t="s">
        <v>162</v>
      </c>
      <c r="H13" s="20" t="s">
        <v>131</v>
      </c>
      <c r="I13" s="73">
        <f>J13</f>
        <v>415.34916666666669</v>
      </c>
      <c r="J13" s="46">
        <f>K13/12</f>
        <v>415.34916666666669</v>
      </c>
      <c r="K13" s="46">
        <f>INSUMOS!G11</f>
        <v>4984.1900000000005</v>
      </c>
    </row>
    <row r="14" spans="1:11" ht="15.95" customHeight="1" x14ac:dyDescent="0.25">
      <c r="A14" s="100"/>
      <c r="B14" s="20">
        <v>13</v>
      </c>
      <c r="C14" s="70" t="s">
        <v>127</v>
      </c>
      <c r="D14" s="67">
        <v>13544</v>
      </c>
      <c r="E14" s="20">
        <v>1</v>
      </c>
      <c r="F14" s="20" t="s">
        <v>96</v>
      </c>
      <c r="G14" s="20" t="s">
        <v>163</v>
      </c>
      <c r="H14" s="20">
        <v>12</v>
      </c>
      <c r="I14" s="73">
        <f>'POSTOS DE SERVIÇO'!O129</f>
        <v>5487.0639999999994</v>
      </c>
      <c r="J14" s="46">
        <f>I14*E14</f>
        <v>5487.0639999999994</v>
      </c>
      <c r="K14" s="46">
        <f>J14*H14</f>
        <v>65844.767999999996</v>
      </c>
    </row>
    <row r="15" spans="1:11" ht="15.95" customHeight="1" x14ac:dyDescent="0.25">
      <c r="A15" s="101"/>
      <c r="B15" s="20">
        <v>14</v>
      </c>
      <c r="C15" s="70" t="s">
        <v>128</v>
      </c>
      <c r="D15" s="67">
        <v>479042</v>
      </c>
      <c r="E15" s="20" t="s">
        <v>131</v>
      </c>
      <c r="F15" s="20" t="s">
        <v>129</v>
      </c>
      <c r="G15" s="20" t="s">
        <v>163</v>
      </c>
      <c r="H15" s="20" t="s">
        <v>131</v>
      </c>
      <c r="I15" s="73">
        <f>J15</f>
        <v>159.43833333333333</v>
      </c>
      <c r="J15" s="46">
        <f>K15/12</f>
        <v>159.43833333333333</v>
      </c>
      <c r="K15" s="73">
        <f>INSUMOS!H11</f>
        <v>1913.26</v>
      </c>
    </row>
    <row r="16" spans="1:11" x14ac:dyDescent="0.25">
      <c r="J16" s="84" t="s">
        <v>0</v>
      </c>
      <c r="K16" s="85">
        <f>SUM(K2:K15)</f>
        <v>1540600.2153090907</v>
      </c>
    </row>
  </sheetData>
  <mergeCells count="2">
    <mergeCell ref="A11:A15"/>
    <mergeCell ref="A2:A10"/>
  </mergeCells>
  <pageMargins left="0.511811024" right="0.511811024" top="0.78740157499999996" bottom="0.78740157499999996" header="0.31496062000000002" footer="0.31496062000000002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B5B6-7F1C-49BB-9419-27BF9AA32D27}">
  <sheetPr>
    <tabColor theme="6" tint="0.59999389629810485"/>
  </sheetPr>
  <dimension ref="B1:O146"/>
  <sheetViews>
    <sheetView showGridLines="0" view="pageBreakPreview" topLeftCell="A115" zoomScaleNormal="70" zoomScaleSheetLayoutView="100" workbookViewId="0">
      <selection activeCell="K129" sqref="K129"/>
    </sheetView>
  </sheetViews>
  <sheetFormatPr defaultColWidth="9.140625" defaultRowHeight="14.25" x14ac:dyDescent="0.2"/>
  <cols>
    <col min="1" max="1" width="2.28515625" style="2" customWidth="1"/>
    <col min="2" max="2" width="4.5703125" style="2" customWidth="1"/>
    <col min="3" max="3" width="65.7109375" style="2" customWidth="1"/>
    <col min="4" max="4" width="12.140625" style="22" bestFit="1" customWidth="1"/>
    <col min="5" max="5" width="16.28515625" style="2" customWidth="1"/>
    <col min="6" max="6" width="14.85546875" style="2" customWidth="1"/>
    <col min="7" max="7" width="16.7109375" style="2" customWidth="1"/>
    <col min="8" max="15" width="15.42578125" style="2" customWidth="1"/>
    <col min="16" max="16384" width="9.140625" style="2"/>
  </cols>
  <sheetData>
    <row r="1" spans="2:15" ht="16.5" customHeight="1" thickBot="1" x14ac:dyDescent="0.25"/>
    <row r="2" spans="2:15" ht="22.5" customHeight="1" thickBot="1" x14ac:dyDescent="0.25">
      <c r="B2" s="133" t="s">
        <v>55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2:15" ht="22.5" customHeight="1" x14ac:dyDescent="0.2">
      <c r="B3" s="135" t="s">
        <v>113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</row>
    <row r="4" spans="2:15" ht="22.5" customHeight="1" x14ac:dyDescent="0.2">
      <c r="B4" s="137" t="s">
        <v>169</v>
      </c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</row>
    <row r="5" spans="2:15" ht="35.25" customHeight="1" thickBot="1" x14ac:dyDescent="0.25">
      <c r="B5" s="26"/>
      <c r="C5" s="26"/>
      <c r="D5" s="26"/>
      <c r="E5" s="26"/>
    </row>
    <row r="6" spans="2:15" ht="30.6" customHeight="1" thickBot="1" x14ac:dyDescent="0.25">
      <c r="B6" s="133" t="s">
        <v>27</v>
      </c>
      <c r="C6" s="134"/>
      <c r="D6" s="134"/>
      <c r="E6" s="134"/>
      <c r="F6" s="134"/>
      <c r="G6" s="134"/>
      <c r="H6" s="134"/>
      <c r="I6" s="141"/>
    </row>
    <row r="7" spans="2:15" ht="18.75" customHeight="1" x14ac:dyDescent="0.2">
      <c r="B7" s="31" t="s">
        <v>2</v>
      </c>
      <c r="C7" s="121" t="s">
        <v>23</v>
      </c>
      <c r="D7" s="121"/>
      <c r="E7" s="121"/>
      <c r="F7" s="140">
        <v>45476</v>
      </c>
      <c r="G7" s="140"/>
      <c r="H7" s="140"/>
      <c r="I7" s="140"/>
      <c r="N7" s="142" t="s">
        <v>157</v>
      </c>
      <c r="O7" s="142"/>
    </row>
    <row r="8" spans="2:15" ht="18.75" customHeight="1" x14ac:dyDescent="0.2">
      <c r="B8" s="19" t="s">
        <v>3</v>
      </c>
      <c r="C8" s="109" t="s">
        <v>24</v>
      </c>
      <c r="D8" s="109"/>
      <c r="E8" s="109"/>
      <c r="F8" s="114" t="s">
        <v>114</v>
      </c>
      <c r="G8" s="114"/>
      <c r="H8" s="114"/>
      <c r="I8" s="114"/>
      <c r="N8" s="142"/>
      <c r="O8" s="142"/>
    </row>
    <row r="9" spans="2:15" ht="21.75" customHeight="1" x14ac:dyDescent="0.2">
      <c r="B9" s="19" t="s">
        <v>4</v>
      </c>
      <c r="C9" s="109" t="s">
        <v>25</v>
      </c>
      <c r="D9" s="109"/>
      <c r="E9" s="109"/>
      <c r="F9" s="139" t="s">
        <v>120</v>
      </c>
      <c r="G9" s="139"/>
      <c r="H9" s="139"/>
      <c r="I9" s="139"/>
      <c r="N9" s="142"/>
      <c r="O9" s="142"/>
    </row>
    <row r="10" spans="2:15" ht="18.75" customHeight="1" x14ac:dyDescent="0.2">
      <c r="B10" s="19" t="s">
        <v>5</v>
      </c>
      <c r="C10" s="109" t="s">
        <v>26</v>
      </c>
      <c r="D10" s="109"/>
      <c r="E10" s="109"/>
      <c r="F10" s="114">
        <v>12</v>
      </c>
      <c r="G10" s="114"/>
      <c r="H10" s="114"/>
      <c r="I10" s="114"/>
      <c r="N10" s="142"/>
      <c r="O10" s="142"/>
    </row>
    <row r="11" spans="2:15" ht="30.75" customHeight="1" thickBot="1" x14ac:dyDescent="0.25">
      <c r="B11" s="15"/>
      <c r="C11" s="28"/>
      <c r="D11" s="15"/>
      <c r="E11" s="28"/>
      <c r="M11" s="54"/>
      <c r="N11" s="142"/>
      <c r="O11" s="142"/>
    </row>
    <row r="12" spans="2:15" ht="29.45" customHeight="1" thickBot="1" x14ac:dyDescent="0.25">
      <c r="B12" s="133" t="s">
        <v>22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41"/>
      <c r="M12" s="59"/>
      <c r="N12" s="142"/>
      <c r="O12" s="142"/>
    </row>
    <row r="13" spans="2:15" ht="18.75" customHeight="1" x14ac:dyDescent="0.2">
      <c r="B13" s="122" t="s">
        <v>48</v>
      </c>
      <c r="C13" s="123"/>
      <c r="D13" s="123"/>
      <c r="E13" s="124"/>
      <c r="F13" s="107"/>
      <c r="G13" s="107"/>
      <c r="H13" s="107"/>
      <c r="I13" s="107"/>
      <c r="J13" s="107"/>
      <c r="K13" s="107"/>
      <c r="L13" s="107"/>
      <c r="M13" s="59"/>
      <c r="N13" s="143" t="s">
        <v>165</v>
      </c>
      <c r="O13" s="143"/>
    </row>
    <row r="14" spans="2:15" ht="23.25" customHeight="1" x14ac:dyDescent="0.2">
      <c r="B14" s="19">
        <v>1</v>
      </c>
      <c r="C14" s="109" t="s">
        <v>21</v>
      </c>
      <c r="D14" s="109"/>
      <c r="E14" s="109"/>
      <c r="F14" s="139" t="s">
        <v>97</v>
      </c>
      <c r="G14" s="139"/>
      <c r="H14" s="139"/>
      <c r="I14" s="139"/>
      <c r="J14" s="139"/>
      <c r="K14" s="139"/>
      <c r="L14" s="139"/>
      <c r="M14" s="60"/>
      <c r="N14" s="143"/>
      <c r="O14" s="143"/>
    </row>
    <row r="15" spans="2:15" ht="23.25" customHeight="1" x14ac:dyDescent="0.2">
      <c r="B15" s="19">
        <v>2</v>
      </c>
      <c r="C15" s="109" t="s">
        <v>49</v>
      </c>
      <c r="D15" s="109"/>
      <c r="E15" s="109"/>
      <c r="F15" s="56" t="s">
        <v>115</v>
      </c>
      <c r="G15" s="56" t="s">
        <v>116</v>
      </c>
      <c r="H15" s="56" t="s">
        <v>122</v>
      </c>
      <c r="I15" s="56" t="s">
        <v>118</v>
      </c>
      <c r="J15" s="56" t="s">
        <v>117</v>
      </c>
      <c r="K15" s="56" t="s">
        <v>121</v>
      </c>
      <c r="L15" s="56" t="s">
        <v>119</v>
      </c>
      <c r="M15" s="54"/>
      <c r="N15" s="143"/>
      <c r="O15" s="143"/>
    </row>
    <row r="16" spans="2:15" ht="23.25" customHeight="1" x14ac:dyDescent="0.2">
      <c r="B16" s="19">
        <v>3</v>
      </c>
      <c r="C16" s="108" t="s">
        <v>156</v>
      </c>
      <c r="D16" s="108"/>
      <c r="E16" s="108"/>
      <c r="F16" s="58">
        <v>1580.23</v>
      </c>
      <c r="G16" s="58">
        <v>1429.24</v>
      </c>
      <c r="H16" s="58">
        <v>1580.23</v>
      </c>
      <c r="I16" s="58">
        <v>1909.34</v>
      </c>
      <c r="J16" s="58">
        <v>1460.08</v>
      </c>
      <c r="K16" s="58">
        <v>1496.54</v>
      </c>
      <c r="L16" s="58">
        <f>(1580.23/220)*150</f>
        <v>1077.4295454545454</v>
      </c>
      <c r="M16" s="54"/>
      <c r="N16" s="143"/>
      <c r="O16" s="143"/>
    </row>
    <row r="17" spans="2:15" ht="33" customHeight="1" x14ac:dyDescent="0.2">
      <c r="B17" s="19">
        <v>4</v>
      </c>
      <c r="C17" s="109" t="s">
        <v>50</v>
      </c>
      <c r="D17" s="109"/>
      <c r="E17" s="109"/>
      <c r="F17" s="56" t="s">
        <v>103</v>
      </c>
      <c r="G17" s="56" t="s">
        <v>106</v>
      </c>
      <c r="H17" s="56" t="s">
        <v>107</v>
      </c>
      <c r="I17" s="56" t="s">
        <v>108</v>
      </c>
      <c r="J17" s="56" t="s">
        <v>109</v>
      </c>
      <c r="K17" s="56" t="s">
        <v>155</v>
      </c>
      <c r="L17" s="56" t="s">
        <v>111</v>
      </c>
      <c r="M17" s="54"/>
      <c r="N17" s="143"/>
      <c r="O17" s="143"/>
    </row>
    <row r="18" spans="2:15" ht="22.5" customHeight="1" x14ac:dyDescent="0.2">
      <c r="B18" s="19">
        <v>5</v>
      </c>
      <c r="C18" s="109" t="s">
        <v>20</v>
      </c>
      <c r="D18" s="109"/>
      <c r="E18" s="109"/>
      <c r="F18" s="130" t="s">
        <v>158</v>
      </c>
      <c r="G18" s="131"/>
      <c r="H18" s="131"/>
      <c r="I18" s="131"/>
      <c r="J18" s="131"/>
      <c r="K18" s="131"/>
      <c r="L18" s="132"/>
      <c r="M18" s="61"/>
      <c r="N18" s="143"/>
      <c r="O18" s="143"/>
    </row>
    <row r="19" spans="2:15" ht="29.25" customHeight="1" thickBot="1" x14ac:dyDescent="0.25">
      <c r="B19" s="15"/>
      <c r="C19" s="28"/>
      <c r="D19" s="29"/>
      <c r="E19" s="30"/>
    </row>
    <row r="20" spans="2:15" ht="30.95" customHeight="1" thickBot="1" x14ac:dyDescent="0.25">
      <c r="B20" s="133" t="s">
        <v>10</v>
      </c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</row>
    <row r="21" spans="2:15" s="54" customFormat="1" ht="24.75" customHeight="1" x14ac:dyDescent="0.2">
      <c r="B21" s="62"/>
      <c r="C21" s="62"/>
      <c r="D21" s="62"/>
      <c r="E21" s="111" t="s">
        <v>105</v>
      </c>
      <c r="F21" s="112"/>
      <c r="G21" s="112"/>
      <c r="H21" s="112"/>
      <c r="I21" s="112"/>
      <c r="J21" s="112"/>
      <c r="K21" s="113"/>
      <c r="L21" s="111" t="s">
        <v>112</v>
      </c>
      <c r="M21" s="112"/>
      <c r="N21" s="112"/>
      <c r="O21" s="113"/>
    </row>
    <row r="22" spans="2:15" s="55" customFormat="1" ht="32.25" customHeight="1" x14ac:dyDescent="0.25">
      <c r="B22" s="53">
        <v>1</v>
      </c>
      <c r="C22" s="53" t="s">
        <v>1</v>
      </c>
      <c r="D22" s="53" t="s">
        <v>56</v>
      </c>
      <c r="E22" s="47" t="s">
        <v>103</v>
      </c>
      <c r="F22" s="47" t="s">
        <v>106</v>
      </c>
      <c r="G22" s="47" t="s">
        <v>107</v>
      </c>
      <c r="H22" s="57" t="s">
        <v>108</v>
      </c>
      <c r="I22" s="57" t="s">
        <v>109</v>
      </c>
      <c r="J22" s="57" t="s">
        <v>110</v>
      </c>
      <c r="K22" s="57" t="s">
        <v>111</v>
      </c>
      <c r="L22" s="47" t="s">
        <v>103</v>
      </c>
      <c r="M22" s="47" t="s">
        <v>106</v>
      </c>
      <c r="N22" s="47" t="s">
        <v>107</v>
      </c>
      <c r="O22" s="57" t="s">
        <v>109</v>
      </c>
    </row>
    <row r="23" spans="2:15" ht="21" customHeight="1" x14ac:dyDescent="0.2">
      <c r="B23" s="19" t="s">
        <v>2</v>
      </c>
      <c r="C23" s="5" t="s">
        <v>95</v>
      </c>
      <c r="D23" s="5"/>
      <c r="E23" s="38">
        <f t="shared" ref="E23:K23" si="0">F16</f>
        <v>1580.23</v>
      </c>
      <c r="F23" s="38">
        <f t="shared" si="0"/>
        <v>1429.24</v>
      </c>
      <c r="G23" s="38">
        <f t="shared" si="0"/>
        <v>1580.23</v>
      </c>
      <c r="H23" s="63">
        <f t="shared" si="0"/>
        <v>1909.34</v>
      </c>
      <c r="I23" s="63">
        <f t="shared" si="0"/>
        <v>1460.08</v>
      </c>
      <c r="J23" s="63">
        <f t="shared" si="0"/>
        <v>1496.54</v>
      </c>
      <c r="K23" s="63">
        <f t="shared" si="0"/>
        <v>1077.4295454545454</v>
      </c>
      <c r="L23" s="63">
        <f>F16</f>
        <v>1580.23</v>
      </c>
      <c r="M23" s="63">
        <f>G16</f>
        <v>1429.24</v>
      </c>
      <c r="N23" s="63">
        <f>H16</f>
        <v>1580.23</v>
      </c>
      <c r="O23" s="63">
        <f>J16</f>
        <v>1460.08</v>
      </c>
    </row>
    <row r="24" spans="2:15" ht="21" customHeight="1" x14ac:dyDescent="0.2">
      <c r="B24" s="19" t="s">
        <v>3</v>
      </c>
      <c r="C24" s="4" t="s">
        <v>124</v>
      </c>
      <c r="D24" s="48">
        <v>0.3</v>
      </c>
      <c r="E24" s="38">
        <f>E23*$D$24</f>
        <v>474.06899999999996</v>
      </c>
      <c r="F24" s="38">
        <f t="shared" ref="F24:J24" si="1">F23*$D$24</f>
        <v>428.77199999999999</v>
      </c>
      <c r="G24" s="38">
        <f t="shared" si="1"/>
        <v>474.06899999999996</v>
      </c>
      <c r="H24" s="38">
        <f t="shared" si="1"/>
        <v>572.80199999999991</v>
      </c>
      <c r="I24" s="38">
        <f>I23*$D$24</f>
        <v>438.02399999999994</v>
      </c>
      <c r="J24" s="38">
        <f t="shared" si="1"/>
        <v>448.96199999999999</v>
      </c>
      <c r="K24" s="38">
        <f t="shared" ref="K24" si="2">K23*$D$24</f>
        <v>323.2288636363636</v>
      </c>
      <c r="L24" s="38">
        <f t="shared" ref="L24" si="3">L23*$D$24</f>
        <v>474.06899999999996</v>
      </c>
      <c r="M24" s="38">
        <f t="shared" ref="M24" si="4">M23*$D$24</f>
        <v>428.77199999999999</v>
      </c>
      <c r="N24" s="38">
        <f t="shared" ref="N24" si="5">N23*$D$24</f>
        <v>474.06899999999996</v>
      </c>
      <c r="O24" s="38">
        <f t="shared" ref="O24" si="6">O23*$D$24</f>
        <v>438.02399999999994</v>
      </c>
    </row>
    <row r="25" spans="2:15" ht="18" customHeight="1" x14ac:dyDescent="0.2">
      <c r="B25" s="105" t="s">
        <v>0</v>
      </c>
      <c r="C25" s="105"/>
      <c r="D25" s="105"/>
      <c r="E25" s="64">
        <f>SUM(E23:E24)</f>
        <v>2054.299</v>
      </c>
      <c r="F25" s="64">
        <f t="shared" ref="F25:O25" si="7">SUM(F23:F24)</f>
        <v>1858.0119999999999</v>
      </c>
      <c r="G25" s="64">
        <f t="shared" si="7"/>
        <v>2054.299</v>
      </c>
      <c r="H25" s="64">
        <f t="shared" si="7"/>
        <v>2482.1419999999998</v>
      </c>
      <c r="I25" s="64">
        <f t="shared" si="7"/>
        <v>1898.1039999999998</v>
      </c>
      <c r="J25" s="64">
        <f t="shared" si="7"/>
        <v>1945.502</v>
      </c>
      <c r="K25" s="64">
        <f t="shared" si="7"/>
        <v>1400.6584090909091</v>
      </c>
      <c r="L25" s="64">
        <f t="shared" si="7"/>
        <v>2054.299</v>
      </c>
      <c r="M25" s="64">
        <f t="shared" si="7"/>
        <v>1858.0119999999999</v>
      </c>
      <c r="N25" s="64">
        <f t="shared" si="7"/>
        <v>2054.299</v>
      </c>
      <c r="O25" s="64">
        <f t="shared" si="7"/>
        <v>1898.1039999999998</v>
      </c>
    </row>
    <row r="26" spans="2:15" ht="30" customHeight="1" thickBot="1" x14ac:dyDescent="0.25">
      <c r="B26" s="25"/>
      <c r="C26" s="25"/>
      <c r="D26" s="25"/>
      <c r="E26" s="24"/>
      <c r="F26" s="24"/>
      <c r="G26" s="24"/>
    </row>
    <row r="27" spans="2:15" ht="27" customHeight="1" thickBot="1" x14ac:dyDescent="0.25">
      <c r="B27" s="133" t="s">
        <v>29</v>
      </c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</row>
    <row r="28" spans="2:15" ht="30" customHeight="1" x14ac:dyDescent="0.2">
      <c r="B28" s="107" t="s">
        <v>30</v>
      </c>
      <c r="C28" s="110" t="s">
        <v>31</v>
      </c>
      <c r="D28" s="107" t="s">
        <v>56</v>
      </c>
      <c r="E28" s="111" t="s">
        <v>105</v>
      </c>
      <c r="F28" s="112"/>
      <c r="G28" s="112"/>
      <c r="H28" s="112"/>
      <c r="I28" s="112"/>
      <c r="J28" s="112"/>
      <c r="K28" s="113"/>
      <c r="L28" s="111" t="s">
        <v>112</v>
      </c>
      <c r="M28" s="112"/>
      <c r="N28" s="112"/>
      <c r="O28" s="113"/>
    </row>
    <row r="29" spans="2:15" ht="45" x14ac:dyDescent="0.25">
      <c r="B29" s="105"/>
      <c r="C29" s="106"/>
      <c r="D29" s="105"/>
      <c r="E29" s="47" t="s">
        <v>103</v>
      </c>
      <c r="F29" s="47" t="s">
        <v>106</v>
      </c>
      <c r="G29" s="47" t="s">
        <v>107</v>
      </c>
      <c r="H29" s="57" t="s">
        <v>108</v>
      </c>
      <c r="I29" s="57" t="s">
        <v>109</v>
      </c>
      <c r="J29" s="57" t="s">
        <v>110</v>
      </c>
      <c r="K29" s="57" t="s">
        <v>111</v>
      </c>
      <c r="L29" s="47" t="s">
        <v>103</v>
      </c>
      <c r="M29" s="47" t="s">
        <v>106</v>
      </c>
      <c r="N29" s="47" t="s">
        <v>107</v>
      </c>
      <c r="O29" s="57" t="s">
        <v>109</v>
      </c>
    </row>
    <row r="30" spans="2:15" ht="34.5" customHeight="1" x14ac:dyDescent="0.2">
      <c r="B30" s="19" t="s">
        <v>2</v>
      </c>
      <c r="C30" s="5" t="s">
        <v>90</v>
      </c>
      <c r="D30" s="1">
        <f>1/12</f>
        <v>8.3333333333333329E-2</v>
      </c>
      <c r="E30" s="23">
        <f>ROUND($D$30*E25,2)</f>
        <v>171.19</v>
      </c>
      <c r="F30" s="23">
        <f t="shared" ref="F30:O30" si="8">ROUND($D$30*F25,2)</f>
        <v>154.83000000000001</v>
      </c>
      <c r="G30" s="23">
        <f t="shared" si="8"/>
        <v>171.19</v>
      </c>
      <c r="H30" s="23">
        <f t="shared" si="8"/>
        <v>206.85</v>
      </c>
      <c r="I30" s="23">
        <f t="shared" si="8"/>
        <v>158.18</v>
      </c>
      <c r="J30" s="23">
        <f t="shared" si="8"/>
        <v>162.13</v>
      </c>
      <c r="K30" s="23">
        <f t="shared" si="8"/>
        <v>116.72</v>
      </c>
      <c r="L30" s="23">
        <f t="shared" si="8"/>
        <v>171.19</v>
      </c>
      <c r="M30" s="23">
        <f t="shared" si="8"/>
        <v>154.83000000000001</v>
      </c>
      <c r="N30" s="23">
        <f t="shared" si="8"/>
        <v>171.19</v>
      </c>
      <c r="O30" s="23">
        <f t="shared" si="8"/>
        <v>158.18</v>
      </c>
    </row>
    <row r="31" spans="2:15" ht="34.5" customHeight="1" x14ac:dyDescent="0.2">
      <c r="B31" s="19" t="s">
        <v>3</v>
      </c>
      <c r="C31" s="5" t="s">
        <v>123</v>
      </c>
      <c r="D31" s="1">
        <v>0.121</v>
      </c>
      <c r="E31" s="23">
        <f>ROUND($D$31*E25,2)</f>
        <v>248.57</v>
      </c>
      <c r="F31" s="23">
        <f t="shared" ref="F31:O31" si="9">ROUND($D$31*F25,2)</f>
        <v>224.82</v>
      </c>
      <c r="G31" s="23">
        <f t="shared" si="9"/>
        <v>248.57</v>
      </c>
      <c r="H31" s="23">
        <f t="shared" si="9"/>
        <v>300.33999999999997</v>
      </c>
      <c r="I31" s="23">
        <f t="shared" si="9"/>
        <v>229.67</v>
      </c>
      <c r="J31" s="23">
        <f t="shared" si="9"/>
        <v>235.41</v>
      </c>
      <c r="K31" s="23">
        <f t="shared" si="9"/>
        <v>169.48</v>
      </c>
      <c r="L31" s="23">
        <f t="shared" si="9"/>
        <v>248.57</v>
      </c>
      <c r="M31" s="23">
        <f t="shared" si="9"/>
        <v>224.82</v>
      </c>
      <c r="N31" s="23">
        <f t="shared" si="9"/>
        <v>248.57</v>
      </c>
      <c r="O31" s="23">
        <f t="shared" si="9"/>
        <v>229.67</v>
      </c>
    </row>
    <row r="32" spans="2:15" ht="22.5" customHeight="1" x14ac:dyDescent="0.2">
      <c r="B32" s="105" t="s">
        <v>58</v>
      </c>
      <c r="C32" s="105"/>
      <c r="D32" s="7">
        <f>D30+D31</f>
        <v>0.20433333333333331</v>
      </c>
      <c r="E32" s="13">
        <f>E30+E31</f>
        <v>419.76</v>
      </c>
      <c r="F32" s="13">
        <f t="shared" ref="F32:O32" si="10">F30+F31</f>
        <v>379.65</v>
      </c>
      <c r="G32" s="13">
        <f t="shared" si="10"/>
        <v>419.76</v>
      </c>
      <c r="H32" s="13">
        <f t="shared" si="10"/>
        <v>507.18999999999994</v>
      </c>
      <c r="I32" s="13">
        <f t="shared" si="10"/>
        <v>387.85</v>
      </c>
      <c r="J32" s="13">
        <f t="shared" si="10"/>
        <v>397.53999999999996</v>
      </c>
      <c r="K32" s="13">
        <f t="shared" si="10"/>
        <v>286.2</v>
      </c>
      <c r="L32" s="13">
        <f t="shared" si="10"/>
        <v>419.76</v>
      </c>
      <c r="M32" s="13">
        <f t="shared" si="10"/>
        <v>379.65</v>
      </c>
      <c r="N32" s="13">
        <f t="shared" si="10"/>
        <v>419.76</v>
      </c>
      <c r="O32" s="13">
        <f t="shared" si="10"/>
        <v>387.85</v>
      </c>
    </row>
    <row r="33" spans="2:15" ht="32.25" customHeight="1" x14ac:dyDescent="0.2">
      <c r="B33" s="25"/>
      <c r="C33" s="25"/>
      <c r="D33" s="34"/>
      <c r="E33" s="33"/>
      <c r="F33" s="33"/>
      <c r="G33" s="33"/>
    </row>
    <row r="34" spans="2:15" ht="24.6" customHeight="1" x14ac:dyDescent="0.2">
      <c r="B34" s="105" t="s">
        <v>33</v>
      </c>
      <c r="C34" s="129" t="s">
        <v>32</v>
      </c>
      <c r="D34" s="105" t="s">
        <v>9</v>
      </c>
      <c r="E34" s="102" t="s">
        <v>105</v>
      </c>
      <c r="F34" s="102"/>
      <c r="G34" s="102"/>
      <c r="H34" s="102"/>
      <c r="I34" s="102"/>
      <c r="J34" s="102"/>
      <c r="K34" s="102"/>
      <c r="L34" s="102" t="s">
        <v>112</v>
      </c>
      <c r="M34" s="102"/>
      <c r="N34" s="102"/>
      <c r="O34" s="102"/>
    </row>
    <row r="35" spans="2:15" ht="45" x14ac:dyDescent="0.25">
      <c r="B35" s="105"/>
      <c r="C35" s="129"/>
      <c r="D35" s="105"/>
      <c r="E35" s="47" t="s">
        <v>103</v>
      </c>
      <c r="F35" s="47" t="s">
        <v>106</v>
      </c>
      <c r="G35" s="47" t="s">
        <v>107</v>
      </c>
      <c r="H35" s="57" t="s">
        <v>108</v>
      </c>
      <c r="I35" s="57" t="s">
        <v>109</v>
      </c>
      <c r="J35" s="57" t="s">
        <v>110</v>
      </c>
      <c r="K35" s="57" t="s">
        <v>111</v>
      </c>
      <c r="L35" s="47" t="s">
        <v>103</v>
      </c>
      <c r="M35" s="47" t="s">
        <v>106</v>
      </c>
      <c r="N35" s="47" t="s">
        <v>107</v>
      </c>
      <c r="O35" s="57" t="s">
        <v>109</v>
      </c>
    </row>
    <row r="36" spans="2:15" ht="23.25" customHeight="1" x14ac:dyDescent="0.2">
      <c r="B36" s="19" t="s">
        <v>2</v>
      </c>
      <c r="C36" s="5" t="s">
        <v>82</v>
      </c>
      <c r="D36" s="1">
        <v>0.2</v>
      </c>
      <c r="E36" s="23">
        <f>ROUND($D$36*(E25+E32),2)</f>
        <v>494.81</v>
      </c>
      <c r="F36" s="23">
        <f t="shared" ref="F36:O36" si="11">ROUND($D$36*(F25+F32),2)</f>
        <v>447.53</v>
      </c>
      <c r="G36" s="23">
        <f>ROUND($D$36*(G25+G32),2)</f>
        <v>494.81</v>
      </c>
      <c r="H36" s="23">
        <f t="shared" si="11"/>
        <v>597.87</v>
      </c>
      <c r="I36" s="23">
        <f t="shared" si="11"/>
        <v>457.19</v>
      </c>
      <c r="J36" s="23">
        <f t="shared" si="11"/>
        <v>468.61</v>
      </c>
      <c r="K36" s="23">
        <f t="shared" si="11"/>
        <v>337.37</v>
      </c>
      <c r="L36" s="23">
        <f t="shared" si="11"/>
        <v>494.81</v>
      </c>
      <c r="M36" s="23">
        <f t="shared" si="11"/>
        <v>447.53</v>
      </c>
      <c r="N36" s="23">
        <f t="shared" si="11"/>
        <v>494.81</v>
      </c>
      <c r="O36" s="23">
        <f t="shared" si="11"/>
        <v>457.19</v>
      </c>
    </row>
    <row r="37" spans="2:15" ht="28.5" x14ac:dyDescent="0.2">
      <c r="B37" s="19" t="s">
        <v>3</v>
      </c>
      <c r="C37" s="5" t="s">
        <v>83</v>
      </c>
      <c r="D37" s="1">
        <v>2.5000000000000001E-2</v>
      </c>
      <c r="E37" s="23">
        <f>ROUND($D$37*(E25+E32),2)</f>
        <v>61.85</v>
      </c>
      <c r="F37" s="23">
        <f t="shared" ref="F37:H37" si="12">ROUND($D$37*(F25+F32),2)</f>
        <v>55.94</v>
      </c>
      <c r="G37" s="23">
        <f t="shared" si="12"/>
        <v>61.85</v>
      </c>
      <c r="H37" s="23">
        <f t="shared" si="12"/>
        <v>74.73</v>
      </c>
      <c r="I37" s="23">
        <f t="shared" ref="I37:O37" si="13">ROUND($D$37*(I25+I32),2)</f>
        <v>57.15</v>
      </c>
      <c r="J37" s="23">
        <f t="shared" si="13"/>
        <v>58.58</v>
      </c>
      <c r="K37" s="23">
        <f t="shared" si="13"/>
        <v>42.17</v>
      </c>
      <c r="L37" s="23">
        <f t="shared" si="13"/>
        <v>61.85</v>
      </c>
      <c r="M37" s="23">
        <f t="shared" si="13"/>
        <v>55.94</v>
      </c>
      <c r="N37" s="23">
        <f t="shared" si="13"/>
        <v>61.85</v>
      </c>
      <c r="O37" s="23">
        <f t="shared" si="13"/>
        <v>57.15</v>
      </c>
    </row>
    <row r="38" spans="2:15" ht="57" x14ac:dyDescent="0.2">
      <c r="B38" s="19" t="s">
        <v>4</v>
      </c>
      <c r="C38" s="5" t="s">
        <v>89</v>
      </c>
      <c r="D38" s="83">
        <v>0.03</v>
      </c>
      <c r="E38" s="23">
        <f>ROUND($D$38*(E25+E32),2)</f>
        <v>74.22</v>
      </c>
      <c r="F38" s="23">
        <f t="shared" ref="F38:G38" si="14">ROUND($D$38*(F25+F32),2)</f>
        <v>67.13</v>
      </c>
      <c r="G38" s="23">
        <f t="shared" si="14"/>
        <v>74.22</v>
      </c>
      <c r="H38" s="23">
        <f>ROUND($D$38*(H25+H32),2)</f>
        <v>89.68</v>
      </c>
      <c r="I38" s="23">
        <f t="shared" ref="I38:O38" si="15">ROUND($D$38*(I25+I32),2)</f>
        <v>68.58</v>
      </c>
      <c r="J38" s="23">
        <f t="shared" si="15"/>
        <v>70.290000000000006</v>
      </c>
      <c r="K38" s="23">
        <f t="shared" si="15"/>
        <v>50.61</v>
      </c>
      <c r="L38" s="23">
        <f t="shared" si="15"/>
        <v>74.22</v>
      </c>
      <c r="M38" s="23">
        <f t="shared" si="15"/>
        <v>67.13</v>
      </c>
      <c r="N38" s="23">
        <f t="shared" si="15"/>
        <v>74.22</v>
      </c>
      <c r="O38" s="23">
        <f t="shared" si="15"/>
        <v>68.58</v>
      </c>
    </row>
    <row r="39" spans="2:15" ht="23.25" customHeight="1" x14ac:dyDescent="0.2">
      <c r="B39" s="19" t="s">
        <v>5</v>
      </c>
      <c r="C39" s="5" t="s">
        <v>84</v>
      </c>
      <c r="D39" s="1">
        <v>1.4999999999999999E-2</v>
      </c>
      <c r="E39" s="23">
        <f>ROUND($D$39*(E25+E32),2)</f>
        <v>37.11</v>
      </c>
      <c r="F39" s="23">
        <f t="shared" ref="F39:H39" si="16">ROUND($D$39*(F25+F32),2)</f>
        <v>33.56</v>
      </c>
      <c r="G39" s="23">
        <f t="shared" si="16"/>
        <v>37.11</v>
      </c>
      <c r="H39" s="23">
        <f t="shared" si="16"/>
        <v>44.84</v>
      </c>
      <c r="I39" s="23">
        <f t="shared" ref="I39:O39" si="17">ROUND($D$39*(I25+I32),2)</f>
        <v>34.29</v>
      </c>
      <c r="J39" s="23">
        <f t="shared" si="17"/>
        <v>35.15</v>
      </c>
      <c r="K39" s="23">
        <f t="shared" si="17"/>
        <v>25.3</v>
      </c>
      <c r="L39" s="23">
        <f t="shared" si="17"/>
        <v>37.11</v>
      </c>
      <c r="M39" s="23">
        <f t="shared" si="17"/>
        <v>33.56</v>
      </c>
      <c r="N39" s="23">
        <f t="shared" si="17"/>
        <v>37.11</v>
      </c>
      <c r="O39" s="23">
        <f t="shared" si="17"/>
        <v>34.29</v>
      </c>
    </row>
    <row r="40" spans="2:15" ht="23.25" customHeight="1" x14ac:dyDescent="0.2">
      <c r="B40" s="19" t="s">
        <v>6</v>
      </c>
      <c r="C40" s="5" t="s">
        <v>85</v>
      </c>
      <c r="D40" s="1">
        <v>0.01</v>
      </c>
      <c r="E40" s="23">
        <f>ROUND($D$40*(E25+E32),2)</f>
        <v>24.74</v>
      </c>
      <c r="F40" s="23">
        <f t="shared" ref="F40:H40" si="18">ROUND($D$40*(F25+F32),2)</f>
        <v>22.38</v>
      </c>
      <c r="G40" s="23">
        <f t="shared" si="18"/>
        <v>24.74</v>
      </c>
      <c r="H40" s="23">
        <f t="shared" si="18"/>
        <v>29.89</v>
      </c>
      <c r="I40" s="23">
        <f t="shared" ref="I40:O40" si="19">ROUND($D$40*(I25+I32),2)</f>
        <v>22.86</v>
      </c>
      <c r="J40" s="23">
        <f t="shared" si="19"/>
        <v>23.43</v>
      </c>
      <c r="K40" s="23">
        <f t="shared" si="19"/>
        <v>16.87</v>
      </c>
      <c r="L40" s="23">
        <f t="shared" si="19"/>
        <v>24.74</v>
      </c>
      <c r="M40" s="23">
        <f t="shared" si="19"/>
        <v>22.38</v>
      </c>
      <c r="N40" s="23">
        <f t="shared" si="19"/>
        <v>24.74</v>
      </c>
      <c r="O40" s="23">
        <f t="shared" si="19"/>
        <v>22.86</v>
      </c>
    </row>
    <row r="41" spans="2:15" ht="23.25" customHeight="1" x14ac:dyDescent="0.2">
      <c r="B41" s="19" t="s">
        <v>7</v>
      </c>
      <c r="C41" s="5" t="s">
        <v>86</v>
      </c>
      <c r="D41" s="1">
        <v>6.0000000000000001E-3</v>
      </c>
      <c r="E41" s="23">
        <f>ROUND($D$41*(E25+E32),2)</f>
        <v>14.84</v>
      </c>
      <c r="F41" s="23">
        <f t="shared" ref="F41:H41" si="20">ROUND($D$41*(F25+F32),2)</f>
        <v>13.43</v>
      </c>
      <c r="G41" s="23">
        <f t="shared" si="20"/>
        <v>14.84</v>
      </c>
      <c r="H41" s="23">
        <f t="shared" si="20"/>
        <v>17.940000000000001</v>
      </c>
      <c r="I41" s="23">
        <f t="shared" ref="I41:O41" si="21">ROUND($D$41*(I25+I32),2)</f>
        <v>13.72</v>
      </c>
      <c r="J41" s="23">
        <f t="shared" si="21"/>
        <v>14.06</v>
      </c>
      <c r="K41" s="23">
        <f t="shared" si="21"/>
        <v>10.119999999999999</v>
      </c>
      <c r="L41" s="23">
        <f t="shared" si="21"/>
        <v>14.84</v>
      </c>
      <c r="M41" s="23">
        <f t="shared" si="21"/>
        <v>13.43</v>
      </c>
      <c r="N41" s="23">
        <f t="shared" si="21"/>
        <v>14.84</v>
      </c>
      <c r="O41" s="23">
        <f t="shared" si="21"/>
        <v>13.72</v>
      </c>
    </row>
    <row r="42" spans="2:15" ht="23.25" customHeight="1" x14ac:dyDescent="0.2">
      <c r="B42" s="19" t="s">
        <v>8</v>
      </c>
      <c r="C42" s="5" t="s">
        <v>87</v>
      </c>
      <c r="D42" s="1">
        <v>2E-3</v>
      </c>
      <c r="E42" s="23">
        <f>ROUND($D$42*(E25+E32),2)</f>
        <v>4.95</v>
      </c>
      <c r="F42" s="23">
        <f t="shared" ref="F42:H42" si="22">ROUND($D$42*(F25+F32),2)</f>
        <v>4.4800000000000004</v>
      </c>
      <c r="G42" s="23">
        <f t="shared" si="22"/>
        <v>4.95</v>
      </c>
      <c r="H42" s="23">
        <f t="shared" si="22"/>
        <v>5.98</v>
      </c>
      <c r="I42" s="23">
        <f t="shared" ref="I42:O42" si="23">ROUND($D$42*(I25+I32),2)</f>
        <v>4.57</v>
      </c>
      <c r="J42" s="23">
        <f t="shared" si="23"/>
        <v>4.6900000000000004</v>
      </c>
      <c r="K42" s="23">
        <f t="shared" si="23"/>
        <v>3.37</v>
      </c>
      <c r="L42" s="23">
        <f t="shared" si="23"/>
        <v>4.95</v>
      </c>
      <c r="M42" s="23">
        <f t="shared" si="23"/>
        <v>4.4800000000000004</v>
      </c>
      <c r="N42" s="23">
        <f t="shared" si="23"/>
        <v>4.95</v>
      </c>
      <c r="O42" s="23">
        <f t="shared" si="23"/>
        <v>4.57</v>
      </c>
    </row>
    <row r="43" spans="2:15" ht="23.25" customHeight="1" x14ac:dyDescent="0.2">
      <c r="B43" s="19" t="s">
        <v>57</v>
      </c>
      <c r="C43" s="5" t="s">
        <v>88</v>
      </c>
      <c r="D43" s="1">
        <v>0.08</v>
      </c>
      <c r="E43" s="23">
        <f>ROUND($D$43*(E25+E32),2)</f>
        <v>197.92</v>
      </c>
      <c r="F43" s="23">
        <f t="shared" ref="F43:H43" si="24">ROUND($D$43*(F25+F32),2)</f>
        <v>179.01</v>
      </c>
      <c r="G43" s="23">
        <f t="shared" si="24"/>
        <v>197.92</v>
      </c>
      <c r="H43" s="23">
        <f t="shared" si="24"/>
        <v>239.15</v>
      </c>
      <c r="I43" s="23">
        <f t="shared" ref="I43:O43" si="25">ROUND($D$43*(I25+I32),2)</f>
        <v>182.88</v>
      </c>
      <c r="J43" s="23">
        <f t="shared" si="25"/>
        <v>187.44</v>
      </c>
      <c r="K43" s="23">
        <f t="shared" si="25"/>
        <v>134.94999999999999</v>
      </c>
      <c r="L43" s="23">
        <f t="shared" si="25"/>
        <v>197.92</v>
      </c>
      <c r="M43" s="23">
        <f t="shared" si="25"/>
        <v>179.01</v>
      </c>
      <c r="N43" s="23">
        <f t="shared" si="25"/>
        <v>197.92</v>
      </c>
      <c r="O43" s="23">
        <f t="shared" si="25"/>
        <v>182.88</v>
      </c>
    </row>
    <row r="44" spans="2:15" ht="18.75" customHeight="1" x14ac:dyDescent="0.2">
      <c r="B44" s="105" t="s">
        <v>0</v>
      </c>
      <c r="C44" s="105"/>
      <c r="D44" s="7">
        <f>SUM(D36:D43)</f>
        <v>0.36800000000000005</v>
      </c>
      <c r="E44" s="13">
        <f>SUM(E36:E43)</f>
        <v>910.44</v>
      </c>
      <c r="F44" s="13">
        <f t="shared" ref="F44:O44" si="26">SUM(F36:F43)</f>
        <v>823.45999999999981</v>
      </c>
      <c r="G44" s="13">
        <f t="shared" si="26"/>
        <v>910.44</v>
      </c>
      <c r="H44" s="13">
        <f t="shared" si="26"/>
        <v>1100.0800000000002</v>
      </c>
      <c r="I44" s="13">
        <f t="shared" si="26"/>
        <v>841.24000000000012</v>
      </c>
      <c r="J44" s="13">
        <f t="shared" si="26"/>
        <v>862.25</v>
      </c>
      <c r="K44" s="13">
        <f t="shared" si="26"/>
        <v>620.76</v>
      </c>
      <c r="L44" s="13">
        <f t="shared" si="26"/>
        <v>910.44</v>
      </c>
      <c r="M44" s="13">
        <f t="shared" si="26"/>
        <v>823.45999999999981</v>
      </c>
      <c r="N44" s="13">
        <f t="shared" si="26"/>
        <v>910.44</v>
      </c>
      <c r="O44" s="13">
        <f t="shared" si="26"/>
        <v>841.24000000000012</v>
      </c>
    </row>
    <row r="45" spans="2:15" ht="23.25" customHeight="1" x14ac:dyDescent="0.2">
      <c r="B45" s="49"/>
      <c r="C45" s="49"/>
      <c r="D45" s="50"/>
      <c r="E45" s="51"/>
      <c r="F45" s="51"/>
      <c r="G45" s="51"/>
    </row>
    <row r="46" spans="2:15" ht="21" customHeight="1" x14ac:dyDescent="0.2">
      <c r="B46" s="105" t="s">
        <v>34</v>
      </c>
      <c r="C46" s="106" t="s">
        <v>11</v>
      </c>
      <c r="D46" s="105" t="s">
        <v>9</v>
      </c>
      <c r="E46" s="102" t="s">
        <v>105</v>
      </c>
      <c r="F46" s="102"/>
      <c r="G46" s="102"/>
      <c r="H46" s="102"/>
      <c r="I46" s="102"/>
      <c r="J46" s="102"/>
      <c r="K46" s="102"/>
      <c r="L46" s="102" t="s">
        <v>112</v>
      </c>
      <c r="M46" s="102"/>
      <c r="N46" s="102"/>
      <c r="O46" s="102"/>
    </row>
    <row r="47" spans="2:15" s="28" customFormat="1" ht="45" x14ac:dyDescent="0.25">
      <c r="B47" s="105"/>
      <c r="C47" s="106"/>
      <c r="D47" s="105"/>
      <c r="E47" s="47" t="s">
        <v>103</v>
      </c>
      <c r="F47" s="47" t="s">
        <v>106</v>
      </c>
      <c r="G47" s="47" t="s">
        <v>107</v>
      </c>
      <c r="H47" s="47" t="s">
        <v>108</v>
      </c>
      <c r="I47" s="47" t="s">
        <v>109</v>
      </c>
      <c r="J47" s="47" t="s">
        <v>110</v>
      </c>
      <c r="K47" s="47" t="s">
        <v>111</v>
      </c>
      <c r="L47" s="47" t="s">
        <v>103</v>
      </c>
      <c r="M47" s="47" t="s">
        <v>106</v>
      </c>
      <c r="N47" s="47" t="s">
        <v>107</v>
      </c>
      <c r="O47" s="47" t="s">
        <v>109</v>
      </c>
    </row>
    <row r="48" spans="2:15" ht="34.5" customHeight="1" x14ac:dyDescent="0.2">
      <c r="B48" s="114" t="s">
        <v>2</v>
      </c>
      <c r="C48" s="108" t="s">
        <v>151</v>
      </c>
      <c r="D48" s="23">
        <v>4</v>
      </c>
      <c r="E48" s="115">
        <f>$D$49*22*2-(6%*E23)</f>
        <v>103.1862</v>
      </c>
      <c r="F48" s="115">
        <f>$D$49*22*2-(6%*F23)</f>
        <v>112.2456</v>
      </c>
      <c r="G48" s="115">
        <f t="shared" ref="G48:K48" si="27">$D$49*22*2-(6%*G23)</f>
        <v>103.1862</v>
      </c>
      <c r="H48" s="115">
        <f t="shared" si="27"/>
        <v>83.439600000000013</v>
      </c>
      <c r="I48" s="115">
        <f t="shared" si="27"/>
        <v>110.3952</v>
      </c>
      <c r="J48" s="115">
        <f>$D$49*26*4-(6%*J23)</f>
        <v>378.20760000000001</v>
      </c>
      <c r="K48" s="115">
        <f t="shared" si="27"/>
        <v>133.35422727272726</v>
      </c>
      <c r="L48" s="115">
        <f>$D$48*22*2-(6%*L23)</f>
        <v>81.186199999999999</v>
      </c>
      <c r="M48" s="115">
        <f t="shared" ref="M48:O48" si="28">$D$48*22*2-(6%*M23)</f>
        <v>90.245599999999996</v>
      </c>
      <c r="N48" s="115">
        <f t="shared" si="28"/>
        <v>81.186199999999999</v>
      </c>
      <c r="O48" s="115">
        <f t="shared" si="28"/>
        <v>88.395200000000003</v>
      </c>
    </row>
    <row r="49" spans="2:15" ht="34.5" customHeight="1" x14ac:dyDescent="0.2">
      <c r="B49" s="114"/>
      <c r="C49" s="108"/>
      <c r="D49" s="17">
        <v>4.5</v>
      </c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</row>
    <row r="50" spans="2:15" ht="18.75" customHeight="1" x14ac:dyDescent="0.2">
      <c r="B50" s="127" t="s">
        <v>3</v>
      </c>
      <c r="C50" s="125" t="s">
        <v>160</v>
      </c>
      <c r="D50" s="17">
        <v>12</v>
      </c>
      <c r="E50" s="144">
        <f>22*$D$52*99%</f>
        <v>566.28</v>
      </c>
      <c r="F50" s="144">
        <f t="shared" ref="F50:G50" si="29">22*$D$52*99%</f>
        <v>566.28</v>
      </c>
      <c r="G50" s="144">
        <f t="shared" si="29"/>
        <v>566.28</v>
      </c>
      <c r="H50" s="144">
        <f>22*$D$51*99%</f>
        <v>479.15999999999997</v>
      </c>
      <c r="I50" s="144">
        <f>22*$D$51*99%</f>
        <v>479.15999999999997</v>
      </c>
      <c r="J50" s="144">
        <f>26*$D$50*93.75%</f>
        <v>292.5</v>
      </c>
      <c r="K50" s="144">
        <f t="shared" ref="K50:N50" si="30">22*$D$52*99%</f>
        <v>566.28</v>
      </c>
      <c r="L50" s="144">
        <f t="shared" si="30"/>
        <v>566.28</v>
      </c>
      <c r="M50" s="144">
        <f t="shared" si="30"/>
        <v>566.28</v>
      </c>
      <c r="N50" s="144">
        <f t="shared" si="30"/>
        <v>566.28</v>
      </c>
      <c r="O50" s="144">
        <f>22*$D$51*99%</f>
        <v>479.15999999999997</v>
      </c>
    </row>
    <row r="51" spans="2:15" ht="18.75" customHeight="1" x14ac:dyDescent="0.2">
      <c r="B51" s="147"/>
      <c r="C51" s="148"/>
      <c r="D51" s="17">
        <v>22</v>
      </c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</row>
    <row r="52" spans="2:15" ht="18.75" customHeight="1" x14ac:dyDescent="0.2">
      <c r="B52" s="128"/>
      <c r="C52" s="126"/>
      <c r="D52" s="154">
        <v>26</v>
      </c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</row>
    <row r="53" spans="2:15" ht="33" customHeight="1" x14ac:dyDescent="0.2">
      <c r="B53" s="19" t="s">
        <v>4</v>
      </c>
      <c r="C53" s="5" t="s">
        <v>159</v>
      </c>
      <c r="D53" s="154">
        <v>94.21</v>
      </c>
      <c r="E53" s="23">
        <v>47.1</v>
      </c>
      <c r="F53" s="23">
        <v>47.1</v>
      </c>
      <c r="G53" s="23">
        <v>47.1</v>
      </c>
      <c r="H53" s="23">
        <v>47.1</v>
      </c>
      <c r="I53" s="23">
        <v>47.1</v>
      </c>
      <c r="J53" s="23">
        <v>0</v>
      </c>
      <c r="K53" s="23">
        <v>47.1</v>
      </c>
      <c r="L53" s="23">
        <v>47.1</v>
      </c>
      <c r="M53" s="23">
        <v>47.1</v>
      </c>
      <c r="N53" s="23">
        <v>47.1</v>
      </c>
      <c r="O53" s="23">
        <v>47.1</v>
      </c>
    </row>
    <row r="54" spans="2:15" ht="57" x14ac:dyDescent="0.2">
      <c r="B54" s="19" t="s">
        <v>5</v>
      </c>
      <c r="C54" s="5" t="s">
        <v>152</v>
      </c>
      <c r="D54" s="154">
        <v>246.47</v>
      </c>
      <c r="E54" s="23">
        <f>($D$54*6/120)*0.1%</f>
        <v>1.2323499999999999E-2</v>
      </c>
      <c r="F54" s="23">
        <f>($D$54*6/120)*0.1%</f>
        <v>1.2323499999999999E-2</v>
      </c>
      <c r="G54" s="23">
        <f>($D$54*6/120)*0.1%</f>
        <v>1.2323499999999999E-2</v>
      </c>
      <c r="H54" s="23">
        <v>0</v>
      </c>
      <c r="I54" s="23">
        <v>0</v>
      </c>
      <c r="J54" s="23">
        <f>($D$54*6/120)*0.1%</f>
        <v>1.2323499999999999E-2</v>
      </c>
      <c r="K54" s="23">
        <f>($D$54*6/120)*0.1%</f>
        <v>1.2323499999999999E-2</v>
      </c>
      <c r="L54" s="23">
        <f>($D$54*6/120)*0.1%</f>
        <v>1.2323499999999999E-2</v>
      </c>
      <c r="M54" s="23">
        <f>($D$54*6/120)*0.1%</f>
        <v>1.2323499999999999E-2</v>
      </c>
      <c r="N54" s="23">
        <f>($D$54*6/120)*0.1%</f>
        <v>1.2323499999999999E-2</v>
      </c>
      <c r="O54" s="23">
        <v>0</v>
      </c>
    </row>
    <row r="55" spans="2:15" ht="14.45" customHeight="1" x14ac:dyDescent="0.2">
      <c r="B55" s="127" t="s">
        <v>6</v>
      </c>
      <c r="C55" s="125" t="s">
        <v>153</v>
      </c>
      <c r="D55" s="154">
        <v>165</v>
      </c>
      <c r="E55" s="116">
        <f>$D$56</f>
        <v>100</v>
      </c>
      <c r="F55" s="116">
        <f>$D$56</f>
        <v>100</v>
      </c>
      <c r="G55" s="116">
        <f>$D$56</f>
        <v>100</v>
      </c>
      <c r="H55" s="116">
        <f>D55</f>
        <v>165</v>
      </c>
      <c r="I55" s="116">
        <f>D55</f>
        <v>165</v>
      </c>
      <c r="J55" s="116">
        <v>0</v>
      </c>
      <c r="K55" s="116">
        <f>$D$56</f>
        <v>100</v>
      </c>
      <c r="L55" s="116">
        <f>$D$56</f>
        <v>100</v>
      </c>
      <c r="M55" s="116">
        <f>$D$56</f>
        <v>100</v>
      </c>
      <c r="N55" s="116">
        <f>$D$56</f>
        <v>100</v>
      </c>
      <c r="O55" s="116">
        <f>D55</f>
        <v>165</v>
      </c>
    </row>
    <row r="56" spans="2:15" ht="21" customHeight="1" x14ac:dyDescent="0.2">
      <c r="B56" s="128"/>
      <c r="C56" s="126"/>
      <c r="D56" s="154">
        <v>100</v>
      </c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</row>
    <row r="57" spans="2:15" ht="85.5" x14ac:dyDescent="0.2">
      <c r="B57" s="19" t="s">
        <v>7</v>
      </c>
      <c r="C57" s="5" t="s">
        <v>154</v>
      </c>
      <c r="D57" s="8"/>
      <c r="E57" s="23">
        <f>3*E23*0.01%</f>
        <v>0.47406900000000007</v>
      </c>
      <c r="F57" s="23">
        <f>3*F23*0.01%</f>
        <v>0.42877200000000004</v>
      </c>
      <c r="G57" s="23">
        <f>3*G23*0.01%</f>
        <v>0.47406900000000007</v>
      </c>
      <c r="H57" s="23">
        <f>40*1412*0.01%</f>
        <v>5.6480000000000006</v>
      </c>
      <c r="I57" s="23">
        <f>40*1412*0.01%</f>
        <v>5.6480000000000006</v>
      </c>
      <c r="J57" s="23">
        <f>1.5*J23*0.01%</f>
        <v>0.22448100000000001</v>
      </c>
      <c r="K57" s="23">
        <f>3*K23*0.01%</f>
        <v>0.32322886363636366</v>
      </c>
      <c r="L57" s="23">
        <f>3*L23*0.01%</f>
        <v>0.47406900000000007</v>
      </c>
      <c r="M57" s="23">
        <f>3*M23*0.01%</f>
        <v>0.42877200000000004</v>
      </c>
      <c r="N57" s="23">
        <f>3*N23*0.01%</f>
        <v>0.47406900000000007</v>
      </c>
      <c r="O57" s="23">
        <f>40*1412*0.01%</f>
        <v>5.6480000000000006</v>
      </c>
    </row>
    <row r="58" spans="2:15" ht="18.75" customHeight="1" x14ac:dyDescent="0.2">
      <c r="B58" s="105" t="s">
        <v>0</v>
      </c>
      <c r="C58" s="105"/>
      <c r="D58" s="105"/>
      <c r="E58" s="13">
        <f>ROUND(SUM(E48:E57),2)</f>
        <v>817.05</v>
      </c>
      <c r="F58" s="13">
        <f t="shared" ref="F58:O58" si="31">ROUND(SUM(F48:F57),2)</f>
        <v>826.07</v>
      </c>
      <c r="G58" s="13">
        <f t="shared" si="31"/>
        <v>817.05</v>
      </c>
      <c r="H58" s="13">
        <f t="shared" si="31"/>
        <v>780.35</v>
      </c>
      <c r="I58" s="13">
        <f t="shared" si="31"/>
        <v>807.3</v>
      </c>
      <c r="J58" s="13">
        <f t="shared" si="31"/>
        <v>670.94</v>
      </c>
      <c r="K58" s="13">
        <f t="shared" si="31"/>
        <v>847.07</v>
      </c>
      <c r="L58" s="13">
        <f t="shared" si="31"/>
        <v>795.05</v>
      </c>
      <c r="M58" s="13">
        <f t="shared" si="31"/>
        <v>804.07</v>
      </c>
      <c r="N58" s="13">
        <f t="shared" si="31"/>
        <v>795.05</v>
      </c>
      <c r="O58" s="13">
        <f t="shared" si="31"/>
        <v>785.3</v>
      </c>
    </row>
    <row r="59" spans="2:15" ht="33" customHeight="1" x14ac:dyDescent="0.2">
      <c r="B59" s="25"/>
      <c r="C59" s="25"/>
      <c r="D59" s="25"/>
      <c r="E59" s="33"/>
    </row>
    <row r="60" spans="2:15" ht="33" customHeight="1" x14ac:dyDescent="0.2">
      <c r="B60" s="104" t="s">
        <v>35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</row>
    <row r="61" spans="2:15" ht="21.95" customHeight="1" x14ac:dyDescent="0.2">
      <c r="B61" s="107">
        <v>2</v>
      </c>
      <c r="C61" s="110" t="s">
        <v>36</v>
      </c>
      <c r="D61" s="110"/>
      <c r="E61" s="103" t="s">
        <v>105</v>
      </c>
      <c r="F61" s="103"/>
      <c r="G61" s="103"/>
      <c r="H61" s="103"/>
      <c r="I61" s="103"/>
      <c r="J61" s="103"/>
      <c r="K61" s="103"/>
      <c r="L61" s="103" t="s">
        <v>112</v>
      </c>
      <c r="M61" s="103"/>
      <c r="N61" s="103"/>
      <c r="O61" s="103"/>
    </row>
    <row r="62" spans="2:15" ht="30" x14ac:dyDescent="0.25">
      <c r="B62" s="105"/>
      <c r="C62" s="106"/>
      <c r="D62" s="106"/>
      <c r="E62" s="47" t="s">
        <v>103</v>
      </c>
      <c r="F62" s="47" t="s">
        <v>106</v>
      </c>
      <c r="G62" s="47" t="s">
        <v>107</v>
      </c>
      <c r="H62" s="57" t="s">
        <v>108</v>
      </c>
      <c r="I62" s="57" t="s">
        <v>109</v>
      </c>
      <c r="J62" s="57" t="s">
        <v>110</v>
      </c>
      <c r="K62" s="57" t="s">
        <v>111</v>
      </c>
      <c r="L62" s="47" t="s">
        <v>103</v>
      </c>
      <c r="M62" s="47" t="s">
        <v>106</v>
      </c>
      <c r="N62" s="47" t="s">
        <v>107</v>
      </c>
      <c r="O62" s="57" t="s">
        <v>109</v>
      </c>
    </row>
    <row r="63" spans="2:15" ht="20.25" customHeight="1" x14ac:dyDescent="0.2">
      <c r="B63" s="19" t="s">
        <v>30</v>
      </c>
      <c r="C63" s="109" t="s">
        <v>31</v>
      </c>
      <c r="D63" s="109"/>
      <c r="E63" s="23">
        <f>E32</f>
        <v>419.76</v>
      </c>
      <c r="F63" s="23">
        <f t="shared" ref="F63:H63" si="32">F32</f>
        <v>379.65</v>
      </c>
      <c r="G63" s="23">
        <f t="shared" si="32"/>
        <v>419.76</v>
      </c>
      <c r="H63" s="23">
        <f t="shared" si="32"/>
        <v>507.18999999999994</v>
      </c>
      <c r="I63" s="23">
        <f t="shared" ref="I63:O63" si="33">I32</f>
        <v>387.85</v>
      </c>
      <c r="J63" s="23">
        <f t="shared" si="33"/>
        <v>397.53999999999996</v>
      </c>
      <c r="K63" s="23">
        <f t="shared" si="33"/>
        <v>286.2</v>
      </c>
      <c r="L63" s="23">
        <f t="shared" si="33"/>
        <v>419.76</v>
      </c>
      <c r="M63" s="23">
        <f t="shared" si="33"/>
        <v>379.65</v>
      </c>
      <c r="N63" s="23">
        <f t="shared" si="33"/>
        <v>419.76</v>
      </c>
      <c r="O63" s="23">
        <f t="shared" si="33"/>
        <v>387.85</v>
      </c>
    </row>
    <row r="64" spans="2:15" ht="20.25" customHeight="1" x14ac:dyDescent="0.2">
      <c r="B64" s="19" t="s">
        <v>33</v>
      </c>
      <c r="C64" s="109" t="s">
        <v>37</v>
      </c>
      <c r="D64" s="109">
        <v>1.4999999999999999E-2</v>
      </c>
      <c r="E64" s="23">
        <f>E44</f>
        <v>910.44</v>
      </c>
      <c r="F64" s="23">
        <f t="shared" ref="F64:H64" si="34">F44</f>
        <v>823.45999999999981</v>
      </c>
      <c r="G64" s="23">
        <f t="shared" si="34"/>
        <v>910.44</v>
      </c>
      <c r="H64" s="23">
        <f t="shared" si="34"/>
        <v>1100.0800000000002</v>
      </c>
      <c r="I64" s="23">
        <f t="shared" ref="I64:O64" si="35">I44</f>
        <v>841.24000000000012</v>
      </c>
      <c r="J64" s="23">
        <f t="shared" si="35"/>
        <v>862.25</v>
      </c>
      <c r="K64" s="23">
        <f t="shared" si="35"/>
        <v>620.76</v>
      </c>
      <c r="L64" s="23">
        <f t="shared" si="35"/>
        <v>910.44</v>
      </c>
      <c r="M64" s="23">
        <f t="shared" si="35"/>
        <v>823.45999999999981</v>
      </c>
      <c r="N64" s="23">
        <f t="shared" si="35"/>
        <v>910.44</v>
      </c>
      <c r="O64" s="23">
        <f t="shared" si="35"/>
        <v>841.24000000000012</v>
      </c>
    </row>
    <row r="65" spans="2:15" ht="20.25" customHeight="1" x14ac:dyDescent="0.2">
      <c r="B65" s="19" t="s">
        <v>34</v>
      </c>
      <c r="C65" s="109" t="s">
        <v>38</v>
      </c>
      <c r="D65" s="109">
        <v>0.01</v>
      </c>
      <c r="E65" s="23">
        <f>E58</f>
        <v>817.05</v>
      </c>
      <c r="F65" s="23">
        <f t="shared" ref="F65:H65" si="36">F58</f>
        <v>826.07</v>
      </c>
      <c r="G65" s="23">
        <f t="shared" si="36"/>
        <v>817.05</v>
      </c>
      <c r="H65" s="23">
        <f t="shared" si="36"/>
        <v>780.35</v>
      </c>
      <c r="I65" s="23">
        <f t="shared" ref="I65:O65" si="37">I58</f>
        <v>807.3</v>
      </c>
      <c r="J65" s="23">
        <f t="shared" si="37"/>
        <v>670.94</v>
      </c>
      <c r="K65" s="23">
        <f t="shared" si="37"/>
        <v>847.07</v>
      </c>
      <c r="L65" s="23">
        <f t="shared" si="37"/>
        <v>795.05</v>
      </c>
      <c r="M65" s="23">
        <f t="shared" si="37"/>
        <v>804.07</v>
      </c>
      <c r="N65" s="23">
        <f t="shared" si="37"/>
        <v>795.05</v>
      </c>
      <c r="O65" s="23">
        <f t="shared" si="37"/>
        <v>785.3</v>
      </c>
    </row>
    <row r="66" spans="2:15" ht="18.75" customHeight="1" x14ac:dyDescent="0.2">
      <c r="B66" s="105" t="s">
        <v>0</v>
      </c>
      <c r="C66" s="105"/>
      <c r="D66" s="105"/>
      <c r="E66" s="13">
        <f>SUM(E63:E65)</f>
        <v>2147.25</v>
      </c>
      <c r="F66" s="13">
        <f t="shared" ref="F66:H66" si="38">SUM(F63:F65)</f>
        <v>2029.1799999999998</v>
      </c>
      <c r="G66" s="13">
        <f t="shared" si="38"/>
        <v>2147.25</v>
      </c>
      <c r="H66" s="13">
        <f t="shared" si="38"/>
        <v>2387.62</v>
      </c>
      <c r="I66" s="13">
        <f t="shared" ref="I66" si="39">SUM(I63:I65)</f>
        <v>2036.39</v>
      </c>
      <c r="J66" s="13">
        <f t="shared" ref="J66:K66" si="40">SUM(J63:J65)</f>
        <v>1930.73</v>
      </c>
      <c r="K66" s="13">
        <f t="shared" si="40"/>
        <v>1754.0300000000002</v>
      </c>
      <c r="L66" s="13">
        <f t="shared" ref="L66" si="41">SUM(L63:L65)</f>
        <v>2125.25</v>
      </c>
      <c r="M66" s="13">
        <f t="shared" ref="M66:N66" si="42">SUM(M63:M65)</f>
        <v>2007.1799999999998</v>
      </c>
      <c r="N66" s="13">
        <f t="shared" si="42"/>
        <v>2125.25</v>
      </c>
      <c r="O66" s="13">
        <f t="shared" ref="O66" si="43">SUM(O63:O65)</f>
        <v>2014.39</v>
      </c>
    </row>
    <row r="67" spans="2:15" ht="30" customHeight="1" x14ac:dyDescent="0.2">
      <c r="B67" s="25"/>
      <c r="C67" s="25"/>
      <c r="D67" s="25"/>
      <c r="E67" s="33"/>
      <c r="F67" s="33"/>
      <c r="G67" s="33"/>
    </row>
    <row r="68" spans="2:15" ht="33" customHeight="1" x14ac:dyDescent="0.2">
      <c r="B68" s="104" t="s">
        <v>39</v>
      </c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</row>
    <row r="69" spans="2:15" ht="20.100000000000001" customHeight="1" x14ac:dyDescent="0.2">
      <c r="B69" s="105">
        <v>3</v>
      </c>
      <c r="C69" s="105" t="s">
        <v>14</v>
      </c>
      <c r="D69" s="105" t="s">
        <v>9</v>
      </c>
      <c r="E69" s="102" t="s">
        <v>105</v>
      </c>
      <c r="F69" s="102"/>
      <c r="G69" s="102"/>
      <c r="H69" s="102"/>
      <c r="I69" s="102"/>
      <c r="J69" s="102"/>
      <c r="K69" s="102"/>
      <c r="L69" s="102" t="s">
        <v>112</v>
      </c>
      <c r="M69" s="102"/>
      <c r="N69" s="102"/>
      <c r="O69" s="102"/>
    </row>
    <row r="70" spans="2:15" ht="33.6" customHeight="1" x14ac:dyDescent="0.25">
      <c r="B70" s="105"/>
      <c r="C70" s="105"/>
      <c r="D70" s="105"/>
      <c r="E70" s="47" t="s">
        <v>103</v>
      </c>
      <c r="F70" s="47" t="s">
        <v>106</v>
      </c>
      <c r="G70" s="47" t="s">
        <v>107</v>
      </c>
      <c r="H70" s="57" t="s">
        <v>108</v>
      </c>
      <c r="I70" s="57" t="s">
        <v>109</v>
      </c>
      <c r="J70" s="57" t="s">
        <v>110</v>
      </c>
      <c r="K70" s="57" t="s">
        <v>111</v>
      </c>
      <c r="L70" s="47" t="s">
        <v>103</v>
      </c>
      <c r="M70" s="47" t="s">
        <v>106</v>
      </c>
      <c r="N70" s="47" t="s">
        <v>107</v>
      </c>
      <c r="O70" s="57" t="s">
        <v>109</v>
      </c>
    </row>
    <row r="71" spans="2:15" ht="47.25" customHeight="1" x14ac:dyDescent="0.2">
      <c r="B71" s="19" t="s">
        <v>2</v>
      </c>
      <c r="C71" s="5" t="s">
        <v>91</v>
      </c>
      <c r="D71" s="1">
        <f>1/12*5%</f>
        <v>4.1666666666666666E-3</v>
      </c>
      <c r="E71" s="23">
        <f>ROUND($D$71*(E25),2)</f>
        <v>8.56</v>
      </c>
      <c r="F71" s="23">
        <f t="shared" ref="F71:H71" si="44">ROUND($D$71*(F25),2)</f>
        <v>7.74</v>
      </c>
      <c r="G71" s="23">
        <f t="shared" si="44"/>
        <v>8.56</v>
      </c>
      <c r="H71" s="23">
        <f t="shared" si="44"/>
        <v>10.34</v>
      </c>
      <c r="I71" s="23">
        <f t="shared" ref="I71:O71" si="45">ROUND($D$71*(I25),2)</f>
        <v>7.91</v>
      </c>
      <c r="J71" s="23">
        <f t="shared" si="45"/>
        <v>8.11</v>
      </c>
      <c r="K71" s="23">
        <f t="shared" si="45"/>
        <v>5.84</v>
      </c>
      <c r="L71" s="23">
        <f t="shared" si="45"/>
        <v>8.56</v>
      </c>
      <c r="M71" s="23">
        <f t="shared" si="45"/>
        <v>7.74</v>
      </c>
      <c r="N71" s="23">
        <f t="shared" si="45"/>
        <v>8.56</v>
      </c>
      <c r="O71" s="23">
        <f t="shared" si="45"/>
        <v>7.91</v>
      </c>
    </row>
    <row r="72" spans="2:15" ht="57" customHeight="1" x14ac:dyDescent="0.2">
      <c r="B72" s="19" t="s">
        <v>3</v>
      </c>
      <c r="C72" s="5" t="s">
        <v>78</v>
      </c>
      <c r="D72" s="10">
        <f>D71*D43</f>
        <v>3.3333333333333332E-4</v>
      </c>
      <c r="E72" s="23">
        <f>ROUND($D$72*(E25),2)</f>
        <v>0.68</v>
      </c>
      <c r="F72" s="23">
        <f t="shared" ref="F72:H72" si="46">ROUND($D$72*(F25),2)</f>
        <v>0.62</v>
      </c>
      <c r="G72" s="23">
        <f t="shared" si="46"/>
        <v>0.68</v>
      </c>
      <c r="H72" s="23">
        <f t="shared" si="46"/>
        <v>0.83</v>
      </c>
      <c r="I72" s="23">
        <f t="shared" ref="I72:O72" si="47">ROUND($D$72*(I25),2)</f>
        <v>0.63</v>
      </c>
      <c r="J72" s="23">
        <f t="shared" si="47"/>
        <v>0.65</v>
      </c>
      <c r="K72" s="23">
        <f t="shared" si="47"/>
        <v>0.47</v>
      </c>
      <c r="L72" s="23">
        <f t="shared" si="47"/>
        <v>0.68</v>
      </c>
      <c r="M72" s="23">
        <f t="shared" si="47"/>
        <v>0.62</v>
      </c>
      <c r="N72" s="23">
        <f t="shared" si="47"/>
        <v>0.68</v>
      </c>
      <c r="O72" s="23">
        <f t="shared" si="47"/>
        <v>0.63</v>
      </c>
    </row>
    <row r="73" spans="2:15" ht="85.5" x14ac:dyDescent="0.2">
      <c r="B73" s="19" t="s">
        <v>4</v>
      </c>
      <c r="C73" s="5" t="s">
        <v>167</v>
      </c>
      <c r="D73" s="10">
        <f>(1+2/12+(1/3*1/12))*0.08*0.4</f>
        <v>3.8222222222222227E-2</v>
      </c>
      <c r="E73" s="23">
        <f>ROUND($D$73*(E25),2)</f>
        <v>78.52</v>
      </c>
      <c r="F73" s="23">
        <f t="shared" ref="F73:H73" si="48">ROUND($D$73*(F25),2)</f>
        <v>71.02</v>
      </c>
      <c r="G73" s="23">
        <f t="shared" si="48"/>
        <v>78.52</v>
      </c>
      <c r="H73" s="23">
        <f t="shared" si="48"/>
        <v>94.87</v>
      </c>
      <c r="I73" s="23">
        <f t="shared" ref="I73:O73" si="49">ROUND($D$73*(I25),2)</f>
        <v>72.55</v>
      </c>
      <c r="J73" s="23">
        <f t="shared" si="49"/>
        <v>74.36</v>
      </c>
      <c r="K73" s="23">
        <f t="shared" si="49"/>
        <v>53.54</v>
      </c>
      <c r="L73" s="23">
        <f t="shared" si="49"/>
        <v>78.52</v>
      </c>
      <c r="M73" s="23">
        <f t="shared" si="49"/>
        <v>71.02</v>
      </c>
      <c r="N73" s="23">
        <f t="shared" si="49"/>
        <v>78.52</v>
      </c>
      <c r="O73" s="23">
        <f t="shared" si="49"/>
        <v>72.55</v>
      </c>
    </row>
    <row r="74" spans="2:15" ht="57" x14ac:dyDescent="0.2">
      <c r="B74" s="19" t="s">
        <v>5</v>
      </c>
      <c r="C74" s="5" t="s">
        <v>166</v>
      </c>
      <c r="D74" s="11">
        <f>(22/30)/12</f>
        <v>6.1111111111111109E-2</v>
      </c>
      <c r="E74" s="23">
        <f>ROUND($D$74*(E25),2)</f>
        <v>125.54</v>
      </c>
      <c r="F74" s="23">
        <f t="shared" ref="F74:H74" si="50">ROUND($D$74*(F25),2)</f>
        <v>113.55</v>
      </c>
      <c r="G74" s="23">
        <f t="shared" si="50"/>
        <v>125.54</v>
      </c>
      <c r="H74" s="23">
        <f t="shared" si="50"/>
        <v>151.69</v>
      </c>
      <c r="I74" s="23">
        <f t="shared" ref="I74:O74" si="51">ROUND($D$74*(I25),2)</f>
        <v>116</v>
      </c>
      <c r="J74" s="23">
        <f t="shared" si="51"/>
        <v>118.89</v>
      </c>
      <c r="K74" s="23">
        <f t="shared" si="51"/>
        <v>85.6</v>
      </c>
      <c r="L74" s="23">
        <f t="shared" si="51"/>
        <v>125.54</v>
      </c>
      <c r="M74" s="23">
        <f t="shared" si="51"/>
        <v>113.55</v>
      </c>
      <c r="N74" s="23">
        <f t="shared" si="51"/>
        <v>125.54</v>
      </c>
      <c r="O74" s="23">
        <f t="shared" si="51"/>
        <v>116</v>
      </c>
    </row>
    <row r="75" spans="2:15" ht="42.75" x14ac:dyDescent="0.2">
      <c r="B75" s="19" t="s">
        <v>6</v>
      </c>
      <c r="C75" s="5" t="s">
        <v>67</v>
      </c>
      <c r="D75" s="18">
        <f>D74*D44</f>
        <v>2.2488888888888892E-2</v>
      </c>
      <c r="E75" s="23">
        <f>ROUND($D$75*(E25),2)</f>
        <v>46.2</v>
      </c>
      <c r="F75" s="23">
        <f t="shared" ref="F75:H75" si="52">ROUND($D$75*(F25),2)</f>
        <v>41.78</v>
      </c>
      <c r="G75" s="23">
        <f t="shared" si="52"/>
        <v>46.2</v>
      </c>
      <c r="H75" s="23">
        <f t="shared" si="52"/>
        <v>55.82</v>
      </c>
      <c r="I75" s="23">
        <f t="shared" ref="I75:O75" si="53">ROUND($D$75*(I25),2)</f>
        <v>42.69</v>
      </c>
      <c r="J75" s="23">
        <f t="shared" si="53"/>
        <v>43.75</v>
      </c>
      <c r="K75" s="23">
        <f t="shared" si="53"/>
        <v>31.5</v>
      </c>
      <c r="L75" s="23">
        <f t="shared" si="53"/>
        <v>46.2</v>
      </c>
      <c r="M75" s="23">
        <f t="shared" si="53"/>
        <v>41.78</v>
      </c>
      <c r="N75" s="23">
        <f t="shared" si="53"/>
        <v>46.2</v>
      </c>
      <c r="O75" s="23">
        <f t="shared" si="53"/>
        <v>42.69</v>
      </c>
    </row>
    <row r="76" spans="2:15" ht="85.5" x14ac:dyDescent="0.2">
      <c r="B76" s="19" t="s">
        <v>7</v>
      </c>
      <c r="C76" s="5" t="s">
        <v>68</v>
      </c>
      <c r="D76" s="11">
        <f>D74*8%*40%*100%</f>
        <v>1.9555555555555554E-3</v>
      </c>
      <c r="E76" s="23">
        <f>ROUND($D$76*(E25),2)</f>
        <v>4.0199999999999996</v>
      </c>
      <c r="F76" s="23">
        <f t="shared" ref="F76:H76" si="54">ROUND($D$76*(F25),2)</f>
        <v>3.63</v>
      </c>
      <c r="G76" s="23">
        <f t="shared" si="54"/>
        <v>4.0199999999999996</v>
      </c>
      <c r="H76" s="23">
        <f t="shared" si="54"/>
        <v>4.8499999999999996</v>
      </c>
      <c r="I76" s="23">
        <f t="shared" ref="I76:O76" si="55">ROUND($D$76*(I25),2)</f>
        <v>3.71</v>
      </c>
      <c r="J76" s="23">
        <f t="shared" si="55"/>
        <v>3.8</v>
      </c>
      <c r="K76" s="23">
        <f t="shared" si="55"/>
        <v>2.74</v>
      </c>
      <c r="L76" s="23">
        <f t="shared" si="55"/>
        <v>4.0199999999999996</v>
      </c>
      <c r="M76" s="23">
        <f t="shared" si="55"/>
        <v>3.63</v>
      </c>
      <c r="N76" s="23">
        <f t="shared" si="55"/>
        <v>4.0199999999999996</v>
      </c>
      <c r="O76" s="23">
        <f t="shared" si="55"/>
        <v>3.71</v>
      </c>
    </row>
    <row r="77" spans="2:15" ht="18.75" customHeight="1" x14ac:dyDescent="0.2">
      <c r="B77" s="105" t="s">
        <v>0</v>
      </c>
      <c r="C77" s="105"/>
      <c r="D77" s="105"/>
      <c r="E77" s="13">
        <f>SUM(E71:E76)</f>
        <v>263.52</v>
      </c>
      <c r="F77" s="13">
        <f t="shared" ref="F77:O77" si="56">SUM(F71:F76)</f>
        <v>238.34</v>
      </c>
      <c r="G77" s="13">
        <f t="shared" si="56"/>
        <v>263.52</v>
      </c>
      <c r="H77" s="13">
        <f t="shared" si="56"/>
        <v>318.40000000000003</v>
      </c>
      <c r="I77" s="13">
        <f t="shared" si="56"/>
        <v>243.49</v>
      </c>
      <c r="J77" s="13">
        <f t="shared" si="56"/>
        <v>249.56</v>
      </c>
      <c r="K77" s="13">
        <f t="shared" si="56"/>
        <v>179.69</v>
      </c>
      <c r="L77" s="13">
        <f t="shared" si="56"/>
        <v>263.52</v>
      </c>
      <c r="M77" s="13">
        <f t="shared" si="56"/>
        <v>238.34</v>
      </c>
      <c r="N77" s="13">
        <f t="shared" si="56"/>
        <v>263.52</v>
      </c>
      <c r="O77" s="13">
        <f t="shared" si="56"/>
        <v>243.49</v>
      </c>
    </row>
    <row r="78" spans="2:15" ht="33.75" customHeight="1" x14ac:dyDescent="0.2">
      <c r="B78" s="25"/>
      <c r="C78" s="25"/>
      <c r="D78" s="25"/>
      <c r="E78" s="33"/>
    </row>
    <row r="79" spans="2:15" ht="33.950000000000003" customHeight="1" x14ac:dyDescent="0.2">
      <c r="B79" s="104" t="s">
        <v>40</v>
      </c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</row>
    <row r="80" spans="2:15" ht="27.6" customHeight="1" x14ac:dyDescent="0.2">
      <c r="B80" s="105" t="s">
        <v>12</v>
      </c>
      <c r="C80" s="105" t="s">
        <v>69</v>
      </c>
      <c r="D80" s="105" t="s">
        <v>9</v>
      </c>
      <c r="E80" s="102" t="s">
        <v>105</v>
      </c>
      <c r="F80" s="102"/>
      <c r="G80" s="102"/>
      <c r="H80" s="102"/>
      <c r="I80" s="102"/>
      <c r="J80" s="102"/>
      <c r="K80" s="102"/>
      <c r="L80" s="102" t="s">
        <v>112</v>
      </c>
      <c r="M80" s="102"/>
      <c r="N80" s="102"/>
      <c r="O80" s="102"/>
    </row>
    <row r="81" spans="2:15" s="28" customFormat="1" ht="36" customHeight="1" x14ac:dyDescent="0.25">
      <c r="B81" s="105"/>
      <c r="C81" s="105"/>
      <c r="D81" s="105"/>
      <c r="E81" s="47" t="s">
        <v>103</v>
      </c>
      <c r="F81" s="47" t="s">
        <v>106</v>
      </c>
      <c r="G81" s="47" t="s">
        <v>107</v>
      </c>
      <c r="H81" s="47" t="s">
        <v>108</v>
      </c>
      <c r="I81" s="47" t="s">
        <v>109</v>
      </c>
      <c r="J81" s="47" t="s">
        <v>110</v>
      </c>
      <c r="K81" s="47" t="s">
        <v>111</v>
      </c>
      <c r="L81" s="47" t="s">
        <v>103</v>
      </c>
      <c r="M81" s="47" t="s">
        <v>106</v>
      </c>
      <c r="N81" s="47" t="s">
        <v>107</v>
      </c>
      <c r="O81" s="47" t="s">
        <v>109</v>
      </c>
    </row>
    <row r="82" spans="2:15" ht="28.5" x14ac:dyDescent="0.2">
      <c r="B82" s="19" t="s">
        <v>2</v>
      </c>
      <c r="C82" s="5" t="s">
        <v>70</v>
      </c>
      <c r="D82" s="1">
        <v>0</v>
      </c>
      <c r="E82" s="23">
        <f>ROUND($D$82*(E25+E77+E66),2)</f>
        <v>0</v>
      </c>
      <c r="F82" s="23">
        <f t="shared" ref="F82:O82" si="57">ROUND($D$82*(F25+F77+F66),2)</f>
        <v>0</v>
      </c>
      <c r="G82" s="23">
        <f t="shared" si="57"/>
        <v>0</v>
      </c>
      <c r="H82" s="23">
        <f t="shared" si="57"/>
        <v>0</v>
      </c>
      <c r="I82" s="23">
        <f t="shared" si="57"/>
        <v>0</v>
      </c>
      <c r="J82" s="23">
        <f t="shared" si="57"/>
        <v>0</v>
      </c>
      <c r="K82" s="23">
        <f t="shared" si="57"/>
        <v>0</v>
      </c>
      <c r="L82" s="23">
        <f t="shared" si="57"/>
        <v>0</v>
      </c>
      <c r="M82" s="23">
        <f t="shared" si="57"/>
        <v>0</v>
      </c>
      <c r="N82" s="23">
        <f t="shared" si="57"/>
        <v>0</v>
      </c>
      <c r="O82" s="23">
        <f t="shared" si="57"/>
        <v>0</v>
      </c>
    </row>
    <row r="83" spans="2:15" ht="57" x14ac:dyDescent="0.2">
      <c r="B83" s="19" t="s">
        <v>3</v>
      </c>
      <c r="C83" s="5" t="s">
        <v>93</v>
      </c>
      <c r="D83" s="1">
        <f>1/30/12</f>
        <v>2.7777777777777779E-3</v>
      </c>
      <c r="E83" s="23">
        <f>ROUND($D$83*(E25+E77+E66),2)</f>
        <v>12.4</v>
      </c>
      <c r="F83" s="23">
        <f t="shared" ref="F83:O83" si="58">ROUND($D$83*(F25+F77+F66),2)</f>
        <v>11.46</v>
      </c>
      <c r="G83" s="23">
        <f t="shared" si="58"/>
        <v>12.4</v>
      </c>
      <c r="H83" s="23">
        <f t="shared" si="58"/>
        <v>14.41</v>
      </c>
      <c r="I83" s="23">
        <f t="shared" si="58"/>
        <v>11.61</v>
      </c>
      <c r="J83" s="23">
        <f t="shared" si="58"/>
        <v>11.46</v>
      </c>
      <c r="K83" s="23">
        <f t="shared" si="58"/>
        <v>9.26</v>
      </c>
      <c r="L83" s="23">
        <f t="shared" si="58"/>
        <v>12.34</v>
      </c>
      <c r="M83" s="23">
        <f t="shared" si="58"/>
        <v>11.4</v>
      </c>
      <c r="N83" s="23">
        <f t="shared" si="58"/>
        <v>12.34</v>
      </c>
      <c r="O83" s="23">
        <f t="shared" si="58"/>
        <v>11.54</v>
      </c>
    </row>
    <row r="84" spans="2:15" ht="71.25" x14ac:dyDescent="0.2">
      <c r="B84" s="19" t="s">
        <v>4</v>
      </c>
      <c r="C84" s="5" t="s">
        <v>92</v>
      </c>
      <c r="D84" s="1">
        <f>((5/30)/12)*0.015</f>
        <v>2.0833333333333332E-4</v>
      </c>
      <c r="E84" s="23">
        <f>ROUND($D$84*(E25+E77+E66),2)</f>
        <v>0.93</v>
      </c>
      <c r="F84" s="23">
        <f t="shared" ref="F84:O84" si="59">ROUND($D$84*(F25+F77+F66),2)</f>
        <v>0.86</v>
      </c>
      <c r="G84" s="23">
        <f t="shared" si="59"/>
        <v>0.93</v>
      </c>
      <c r="H84" s="23">
        <f t="shared" si="59"/>
        <v>1.08</v>
      </c>
      <c r="I84" s="23">
        <f t="shared" si="59"/>
        <v>0.87</v>
      </c>
      <c r="J84" s="23">
        <f t="shared" si="59"/>
        <v>0.86</v>
      </c>
      <c r="K84" s="23">
        <f t="shared" si="59"/>
        <v>0.69</v>
      </c>
      <c r="L84" s="23">
        <f t="shared" si="59"/>
        <v>0.93</v>
      </c>
      <c r="M84" s="23">
        <f t="shared" si="59"/>
        <v>0.85</v>
      </c>
      <c r="N84" s="23">
        <f t="shared" si="59"/>
        <v>0.93</v>
      </c>
      <c r="O84" s="23">
        <f t="shared" si="59"/>
        <v>0.87</v>
      </c>
    </row>
    <row r="85" spans="2:15" ht="71.25" x14ac:dyDescent="0.2">
      <c r="B85" s="19" t="s">
        <v>5</v>
      </c>
      <c r="C85" s="5" t="s">
        <v>94</v>
      </c>
      <c r="D85" s="1">
        <f>(1/12)*0.0178</f>
        <v>1.4833333333333332E-3</v>
      </c>
      <c r="E85" s="23">
        <f>ROUND($D$85*(E25+E77+E66),2)</f>
        <v>6.62</v>
      </c>
      <c r="F85" s="23">
        <f t="shared" ref="F85:O85" si="60">ROUND($D$85*(F25+F77+F66),2)</f>
        <v>6.12</v>
      </c>
      <c r="G85" s="23">
        <f t="shared" si="60"/>
        <v>6.62</v>
      </c>
      <c r="H85" s="23">
        <f t="shared" si="60"/>
        <v>7.7</v>
      </c>
      <c r="I85" s="23">
        <f t="shared" si="60"/>
        <v>6.2</v>
      </c>
      <c r="J85" s="23">
        <f t="shared" si="60"/>
        <v>6.12</v>
      </c>
      <c r="K85" s="23">
        <f t="shared" si="60"/>
        <v>4.95</v>
      </c>
      <c r="L85" s="23">
        <f t="shared" si="60"/>
        <v>6.59</v>
      </c>
      <c r="M85" s="23">
        <f t="shared" si="60"/>
        <v>6.09</v>
      </c>
      <c r="N85" s="23">
        <f t="shared" si="60"/>
        <v>6.59</v>
      </c>
      <c r="O85" s="23">
        <f t="shared" si="60"/>
        <v>6.16</v>
      </c>
    </row>
    <row r="86" spans="2:15" ht="128.25" x14ac:dyDescent="0.2">
      <c r="B86" s="19" t="s">
        <v>6</v>
      </c>
      <c r="C86" s="5" t="s">
        <v>81</v>
      </c>
      <c r="D86" s="1">
        <f>(1/12+((1/3)*(1/12)))*0.44*0.2*(4/12)</f>
        <v>3.2592592592592591E-3</v>
      </c>
      <c r="E86" s="23">
        <f>ROUND($D$86*(E25+E77+E66),2)</f>
        <v>14.55</v>
      </c>
      <c r="F86" s="23">
        <f t="shared" ref="F86:O86" si="61">ROUND($D$86*(F25+F77+F66),2)</f>
        <v>13.45</v>
      </c>
      <c r="G86" s="23">
        <f t="shared" si="61"/>
        <v>14.55</v>
      </c>
      <c r="H86" s="23">
        <f t="shared" si="61"/>
        <v>16.91</v>
      </c>
      <c r="I86" s="23">
        <f t="shared" si="61"/>
        <v>13.62</v>
      </c>
      <c r="J86" s="23">
        <f t="shared" si="61"/>
        <v>13.45</v>
      </c>
      <c r="K86" s="23">
        <f t="shared" si="61"/>
        <v>10.87</v>
      </c>
      <c r="L86" s="23">
        <f t="shared" si="61"/>
        <v>14.48</v>
      </c>
      <c r="M86" s="23">
        <f t="shared" si="61"/>
        <v>13.37</v>
      </c>
      <c r="N86" s="23">
        <f t="shared" si="61"/>
        <v>14.48</v>
      </c>
      <c r="O86" s="23">
        <f t="shared" si="61"/>
        <v>13.55</v>
      </c>
    </row>
    <row r="87" spans="2:15" ht="42.75" x14ac:dyDescent="0.2">
      <c r="B87" s="19" t="s">
        <v>7</v>
      </c>
      <c r="C87" s="5" t="s">
        <v>79</v>
      </c>
      <c r="D87" s="1">
        <f>5/30/12*100%</f>
        <v>1.3888888888888888E-2</v>
      </c>
      <c r="E87" s="23">
        <f>ROUND($D$87*(E25+E77+E66),2)</f>
        <v>62.01</v>
      </c>
      <c r="F87" s="23">
        <f t="shared" ref="F87:O87" si="62">ROUND($D$87*(F25+F77+F66),2)</f>
        <v>57.3</v>
      </c>
      <c r="G87" s="23">
        <f t="shared" si="62"/>
        <v>62.01</v>
      </c>
      <c r="H87" s="23">
        <f t="shared" si="62"/>
        <v>72.06</v>
      </c>
      <c r="I87" s="23">
        <f t="shared" si="62"/>
        <v>58.03</v>
      </c>
      <c r="J87" s="23">
        <f t="shared" si="62"/>
        <v>57.3</v>
      </c>
      <c r="K87" s="23">
        <f t="shared" si="62"/>
        <v>46.31</v>
      </c>
      <c r="L87" s="23">
        <f t="shared" si="62"/>
        <v>61.71</v>
      </c>
      <c r="M87" s="23">
        <f t="shared" si="62"/>
        <v>56.99</v>
      </c>
      <c r="N87" s="23">
        <f t="shared" si="62"/>
        <v>61.71</v>
      </c>
      <c r="O87" s="23">
        <f t="shared" si="62"/>
        <v>57.72</v>
      </c>
    </row>
    <row r="88" spans="2:15" ht="24.75" customHeight="1" x14ac:dyDescent="0.2">
      <c r="B88" s="105" t="s">
        <v>0</v>
      </c>
      <c r="C88" s="105"/>
      <c r="D88" s="12">
        <f>SUM(D82:D87)</f>
        <v>2.1617592592592591E-2</v>
      </c>
      <c r="E88" s="13">
        <f>SUM(E82:E87)</f>
        <v>96.509999999999991</v>
      </c>
      <c r="F88" s="13">
        <f t="shared" ref="F88:O88" si="63">SUM(F82:F87)</f>
        <v>89.19</v>
      </c>
      <c r="G88" s="13">
        <f t="shared" si="63"/>
        <v>96.509999999999991</v>
      </c>
      <c r="H88" s="13">
        <f t="shared" si="63"/>
        <v>112.16</v>
      </c>
      <c r="I88" s="13">
        <f t="shared" si="63"/>
        <v>90.33</v>
      </c>
      <c r="J88" s="13">
        <f t="shared" si="63"/>
        <v>89.19</v>
      </c>
      <c r="K88" s="13">
        <f t="shared" si="63"/>
        <v>72.08</v>
      </c>
      <c r="L88" s="13">
        <f t="shared" si="63"/>
        <v>96.050000000000011</v>
      </c>
      <c r="M88" s="13">
        <f t="shared" si="63"/>
        <v>88.7</v>
      </c>
      <c r="N88" s="13">
        <f t="shared" si="63"/>
        <v>96.050000000000011</v>
      </c>
      <c r="O88" s="13">
        <f t="shared" si="63"/>
        <v>89.84</v>
      </c>
    </row>
    <row r="89" spans="2:15" ht="24.75" customHeight="1" x14ac:dyDescent="0.2">
      <c r="B89" s="25"/>
      <c r="C89" s="25"/>
      <c r="D89" s="37"/>
      <c r="E89" s="33"/>
      <c r="F89" s="33"/>
      <c r="G89" s="33"/>
    </row>
    <row r="90" spans="2:15" ht="22.5" customHeight="1" x14ac:dyDescent="0.2">
      <c r="B90" s="105" t="s">
        <v>13</v>
      </c>
      <c r="C90" s="106" t="s">
        <v>71</v>
      </c>
      <c r="D90" s="106"/>
      <c r="E90" s="102" t="s">
        <v>105</v>
      </c>
      <c r="F90" s="102"/>
      <c r="G90" s="102"/>
      <c r="H90" s="102"/>
      <c r="I90" s="102"/>
      <c r="J90" s="102"/>
      <c r="K90" s="102"/>
      <c r="L90" s="102" t="s">
        <v>112</v>
      </c>
      <c r="M90" s="102"/>
      <c r="N90" s="102"/>
      <c r="O90" s="102"/>
    </row>
    <row r="91" spans="2:15" s="28" customFormat="1" ht="39" customHeight="1" x14ac:dyDescent="0.25">
      <c r="B91" s="105"/>
      <c r="C91" s="106"/>
      <c r="D91" s="106"/>
      <c r="E91" s="47" t="s">
        <v>103</v>
      </c>
      <c r="F91" s="47" t="s">
        <v>106</v>
      </c>
      <c r="G91" s="47" t="s">
        <v>107</v>
      </c>
      <c r="H91" s="47" t="s">
        <v>108</v>
      </c>
      <c r="I91" s="47" t="s">
        <v>109</v>
      </c>
      <c r="J91" s="47" t="s">
        <v>110</v>
      </c>
      <c r="K91" s="47" t="s">
        <v>111</v>
      </c>
      <c r="L91" s="47" t="s">
        <v>103</v>
      </c>
      <c r="M91" s="47" t="s">
        <v>106</v>
      </c>
      <c r="N91" s="47" t="s">
        <v>107</v>
      </c>
      <c r="O91" s="47" t="s">
        <v>109</v>
      </c>
    </row>
    <row r="92" spans="2:15" ht="19.5" customHeight="1" x14ac:dyDescent="0.2">
      <c r="B92" s="19" t="s">
        <v>2</v>
      </c>
      <c r="C92" s="108" t="s">
        <v>125</v>
      </c>
      <c r="D92" s="108"/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</row>
    <row r="93" spans="2:15" ht="24.75" customHeight="1" x14ac:dyDescent="0.2">
      <c r="B93" s="105" t="s">
        <v>0</v>
      </c>
      <c r="C93" s="105"/>
      <c r="D93" s="105"/>
      <c r="E93" s="13">
        <f>E92</f>
        <v>0</v>
      </c>
      <c r="F93" s="13">
        <f t="shared" ref="F93:H93" si="64">F92</f>
        <v>0</v>
      </c>
      <c r="G93" s="13">
        <f t="shared" si="64"/>
        <v>0</v>
      </c>
      <c r="H93" s="13">
        <f t="shared" si="64"/>
        <v>0</v>
      </c>
      <c r="I93" s="13">
        <f t="shared" ref="I93:O93" si="65">I92</f>
        <v>0</v>
      </c>
      <c r="J93" s="13">
        <f t="shared" si="65"/>
        <v>0</v>
      </c>
      <c r="K93" s="13">
        <f t="shared" si="65"/>
        <v>0</v>
      </c>
      <c r="L93" s="13">
        <f t="shared" si="65"/>
        <v>0</v>
      </c>
      <c r="M93" s="13">
        <f t="shared" si="65"/>
        <v>0</v>
      </c>
      <c r="N93" s="13">
        <f t="shared" si="65"/>
        <v>0</v>
      </c>
      <c r="O93" s="13">
        <f t="shared" si="65"/>
        <v>0</v>
      </c>
    </row>
    <row r="94" spans="2:15" ht="24.75" customHeight="1" x14ac:dyDescent="0.2">
      <c r="B94" s="25"/>
      <c r="C94" s="25"/>
      <c r="D94" s="25"/>
      <c r="E94" s="33"/>
    </row>
    <row r="95" spans="2:15" ht="24.75" customHeight="1" x14ac:dyDescent="0.2">
      <c r="B95" s="104" t="s">
        <v>43</v>
      </c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</row>
    <row r="96" spans="2:15" ht="22.5" customHeight="1" x14ac:dyDescent="0.2">
      <c r="B96" s="107">
        <v>4</v>
      </c>
      <c r="C96" s="107" t="s">
        <v>44</v>
      </c>
      <c r="D96" s="107"/>
      <c r="E96" s="103" t="s">
        <v>105</v>
      </c>
      <c r="F96" s="103"/>
      <c r="G96" s="103"/>
      <c r="H96" s="103"/>
      <c r="I96" s="103"/>
      <c r="J96" s="103"/>
      <c r="K96" s="103"/>
      <c r="L96" s="103" t="s">
        <v>112</v>
      </c>
      <c r="M96" s="103"/>
      <c r="N96" s="103"/>
      <c r="O96" s="103"/>
    </row>
    <row r="97" spans="2:15" ht="38.1" customHeight="1" x14ac:dyDescent="0.2">
      <c r="B97" s="105"/>
      <c r="C97" s="105"/>
      <c r="D97" s="105"/>
      <c r="E97" s="47" t="s">
        <v>103</v>
      </c>
      <c r="F97" s="47" t="s">
        <v>106</v>
      </c>
      <c r="G97" s="47" t="s">
        <v>107</v>
      </c>
      <c r="H97" s="47" t="s">
        <v>108</v>
      </c>
      <c r="I97" s="47" t="s">
        <v>109</v>
      </c>
      <c r="J97" s="47" t="s">
        <v>110</v>
      </c>
      <c r="K97" s="47" t="s">
        <v>111</v>
      </c>
      <c r="L97" s="47" t="s">
        <v>103</v>
      </c>
      <c r="M97" s="47" t="s">
        <v>106</v>
      </c>
      <c r="N97" s="47" t="s">
        <v>107</v>
      </c>
      <c r="O97" s="47" t="s">
        <v>109</v>
      </c>
    </row>
    <row r="98" spans="2:15" ht="23.25" customHeight="1" x14ac:dyDescent="0.2">
      <c r="B98" s="19" t="s">
        <v>12</v>
      </c>
      <c r="C98" s="109" t="s">
        <v>41</v>
      </c>
      <c r="D98" s="109"/>
      <c r="E98" s="23">
        <f>E88</f>
        <v>96.509999999999991</v>
      </c>
      <c r="F98" s="23">
        <f t="shared" ref="F98:O98" si="66">F88</f>
        <v>89.19</v>
      </c>
      <c r="G98" s="23">
        <f t="shared" si="66"/>
        <v>96.509999999999991</v>
      </c>
      <c r="H98" s="23">
        <f t="shared" si="66"/>
        <v>112.16</v>
      </c>
      <c r="I98" s="23">
        <f t="shared" si="66"/>
        <v>90.33</v>
      </c>
      <c r="J98" s="23">
        <f t="shared" si="66"/>
        <v>89.19</v>
      </c>
      <c r="K98" s="23">
        <f t="shared" si="66"/>
        <v>72.08</v>
      </c>
      <c r="L98" s="23">
        <f t="shared" si="66"/>
        <v>96.050000000000011</v>
      </c>
      <c r="M98" s="23">
        <f t="shared" si="66"/>
        <v>88.7</v>
      </c>
      <c r="N98" s="23">
        <f t="shared" si="66"/>
        <v>96.050000000000011</v>
      </c>
      <c r="O98" s="23">
        <f t="shared" si="66"/>
        <v>89.84</v>
      </c>
    </row>
    <row r="99" spans="2:15" ht="23.25" customHeight="1" x14ac:dyDescent="0.2">
      <c r="B99" s="19" t="s">
        <v>13</v>
      </c>
      <c r="C99" s="109" t="s">
        <v>42</v>
      </c>
      <c r="D99" s="109">
        <v>1.4999999999999999E-2</v>
      </c>
      <c r="E99" s="23">
        <f>E93</f>
        <v>0</v>
      </c>
      <c r="F99" s="23">
        <f t="shared" ref="F99:O99" si="67">F93</f>
        <v>0</v>
      </c>
      <c r="G99" s="23">
        <f t="shared" si="67"/>
        <v>0</v>
      </c>
      <c r="H99" s="23">
        <f t="shared" si="67"/>
        <v>0</v>
      </c>
      <c r="I99" s="23">
        <f t="shared" si="67"/>
        <v>0</v>
      </c>
      <c r="J99" s="23">
        <f t="shared" si="67"/>
        <v>0</v>
      </c>
      <c r="K99" s="23">
        <f t="shared" si="67"/>
        <v>0</v>
      </c>
      <c r="L99" s="23">
        <f t="shared" si="67"/>
        <v>0</v>
      </c>
      <c r="M99" s="23">
        <f t="shared" si="67"/>
        <v>0</v>
      </c>
      <c r="N99" s="23">
        <f t="shared" si="67"/>
        <v>0</v>
      </c>
      <c r="O99" s="23">
        <f t="shared" si="67"/>
        <v>0</v>
      </c>
    </row>
    <row r="100" spans="2:15" ht="23.25" customHeight="1" x14ac:dyDescent="0.2">
      <c r="B100" s="105" t="s">
        <v>0</v>
      </c>
      <c r="C100" s="105"/>
      <c r="D100" s="105"/>
      <c r="E100" s="13">
        <f>SUM(E98:E99)</f>
        <v>96.509999999999991</v>
      </c>
      <c r="F100" s="13">
        <f t="shared" ref="F100:O100" si="68">SUM(F98:F99)</f>
        <v>89.19</v>
      </c>
      <c r="G100" s="13">
        <f t="shared" si="68"/>
        <v>96.509999999999991</v>
      </c>
      <c r="H100" s="13">
        <f t="shared" si="68"/>
        <v>112.16</v>
      </c>
      <c r="I100" s="13">
        <f t="shared" si="68"/>
        <v>90.33</v>
      </c>
      <c r="J100" s="13">
        <f t="shared" si="68"/>
        <v>89.19</v>
      </c>
      <c r="K100" s="13">
        <f t="shared" si="68"/>
        <v>72.08</v>
      </c>
      <c r="L100" s="13">
        <f t="shared" si="68"/>
        <v>96.050000000000011</v>
      </c>
      <c r="M100" s="13">
        <f t="shared" si="68"/>
        <v>88.7</v>
      </c>
      <c r="N100" s="13">
        <f t="shared" si="68"/>
        <v>96.050000000000011</v>
      </c>
      <c r="O100" s="13">
        <f t="shared" si="68"/>
        <v>89.84</v>
      </c>
    </row>
    <row r="101" spans="2:15" ht="23.25" customHeight="1" x14ac:dyDescent="0.2">
      <c r="B101" s="25"/>
      <c r="C101" s="25"/>
      <c r="D101" s="25"/>
      <c r="E101" s="33"/>
    </row>
    <row r="102" spans="2:15" ht="21" customHeight="1" x14ac:dyDescent="0.2">
      <c r="B102" s="104" t="s">
        <v>45</v>
      </c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</row>
    <row r="103" spans="2:15" ht="29.45" customHeight="1" x14ac:dyDescent="0.2">
      <c r="B103" s="105">
        <v>5</v>
      </c>
      <c r="C103" s="106" t="s">
        <v>28</v>
      </c>
      <c r="D103" s="106"/>
      <c r="E103" s="102" t="s">
        <v>105</v>
      </c>
      <c r="F103" s="102"/>
      <c r="G103" s="102"/>
      <c r="H103" s="102"/>
      <c r="I103" s="102"/>
      <c r="J103" s="102"/>
      <c r="K103" s="102"/>
      <c r="L103" s="102" t="s">
        <v>112</v>
      </c>
      <c r="M103" s="102"/>
      <c r="N103" s="102"/>
      <c r="O103" s="102"/>
    </row>
    <row r="104" spans="2:15" ht="35.450000000000003" customHeight="1" x14ac:dyDescent="0.2">
      <c r="B104" s="105"/>
      <c r="C104" s="106"/>
      <c r="D104" s="106"/>
      <c r="E104" s="47" t="s">
        <v>103</v>
      </c>
      <c r="F104" s="47" t="s">
        <v>106</v>
      </c>
      <c r="G104" s="47" t="s">
        <v>107</v>
      </c>
      <c r="H104" s="47" t="s">
        <v>108</v>
      </c>
      <c r="I104" s="47" t="s">
        <v>109</v>
      </c>
      <c r="J104" s="47" t="s">
        <v>110</v>
      </c>
      <c r="K104" s="47" t="s">
        <v>111</v>
      </c>
      <c r="L104" s="47" t="s">
        <v>103</v>
      </c>
      <c r="M104" s="47" t="s">
        <v>106</v>
      </c>
      <c r="N104" s="47" t="s">
        <v>107</v>
      </c>
      <c r="O104" s="47" t="s">
        <v>109</v>
      </c>
    </row>
    <row r="105" spans="2:15" ht="23.25" customHeight="1" x14ac:dyDescent="0.2">
      <c r="B105" s="19" t="s">
        <v>2</v>
      </c>
      <c r="C105" s="109" t="s">
        <v>59</v>
      </c>
      <c r="D105" s="109"/>
      <c r="E105" s="23">
        <f>UNIFORMES!$F$10</f>
        <v>47.5</v>
      </c>
      <c r="F105" s="23">
        <f>UNIFORMES!$F$10</f>
        <v>47.5</v>
      </c>
      <c r="G105" s="23">
        <f>UNIFORMES!$F$10</f>
        <v>47.5</v>
      </c>
      <c r="H105" s="23">
        <f>UNIFORMES!$F$10</f>
        <v>47.5</v>
      </c>
      <c r="I105" s="23">
        <f>UNIFORMES!$F$10</f>
        <v>47.5</v>
      </c>
      <c r="J105" s="23">
        <f>UNIFORMES!$F$10</f>
        <v>47.5</v>
      </c>
      <c r="K105" s="23">
        <f>UNIFORMES!$F$10</f>
        <v>47.5</v>
      </c>
      <c r="L105" s="23">
        <f>UNIFORMES!$F$10</f>
        <v>47.5</v>
      </c>
      <c r="M105" s="23">
        <f>UNIFORMES!$F$10</f>
        <v>47.5</v>
      </c>
      <c r="N105" s="23">
        <f>UNIFORMES!$F$10</f>
        <v>47.5</v>
      </c>
      <c r="O105" s="23">
        <f>UNIFORMES!$F$10</f>
        <v>47.5</v>
      </c>
    </row>
    <row r="106" spans="2:15" ht="21" customHeight="1" x14ac:dyDescent="0.2">
      <c r="B106" s="105" t="s">
        <v>0</v>
      </c>
      <c r="C106" s="105"/>
      <c r="D106" s="105"/>
      <c r="E106" s="13">
        <f>ROUND(SUM(E105:E105),2)</f>
        <v>47.5</v>
      </c>
      <c r="F106" s="13">
        <f t="shared" ref="F106:O106" si="69">ROUND(SUM(F105:F105),2)</f>
        <v>47.5</v>
      </c>
      <c r="G106" s="13">
        <f t="shared" si="69"/>
        <v>47.5</v>
      </c>
      <c r="H106" s="13">
        <f t="shared" si="69"/>
        <v>47.5</v>
      </c>
      <c r="I106" s="13">
        <f t="shared" si="69"/>
        <v>47.5</v>
      </c>
      <c r="J106" s="13">
        <f t="shared" si="69"/>
        <v>47.5</v>
      </c>
      <c r="K106" s="13">
        <f t="shared" si="69"/>
        <v>47.5</v>
      </c>
      <c r="L106" s="13">
        <f t="shared" si="69"/>
        <v>47.5</v>
      </c>
      <c r="M106" s="13">
        <f t="shared" si="69"/>
        <v>47.5</v>
      </c>
      <c r="N106" s="13">
        <f t="shared" si="69"/>
        <v>47.5</v>
      </c>
      <c r="O106" s="13">
        <f t="shared" si="69"/>
        <v>47.5</v>
      </c>
    </row>
    <row r="107" spans="2:15" ht="21" customHeight="1" x14ac:dyDescent="0.2">
      <c r="B107" s="25"/>
      <c r="C107" s="25"/>
      <c r="D107" s="25"/>
      <c r="E107" s="33"/>
    </row>
    <row r="108" spans="2:15" ht="21" customHeight="1" x14ac:dyDescent="0.2">
      <c r="B108" s="104" t="s">
        <v>46</v>
      </c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</row>
    <row r="109" spans="2:15" ht="26.45" customHeight="1" x14ac:dyDescent="0.2">
      <c r="B109" s="105">
        <v>6</v>
      </c>
      <c r="C109" s="106" t="s">
        <v>15</v>
      </c>
      <c r="D109" s="105" t="s">
        <v>9</v>
      </c>
      <c r="E109" s="102" t="s">
        <v>105</v>
      </c>
      <c r="F109" s="102"/>
      <c r="G109" s="102"/>
      <c r="H109" s="102"/>
      <c r="I109" s="102"/>
      <c r="J109" s="102"/>
      <c r="K109" s="102"/>
      <c r="L109" s="102" t="s">
        <v>112</v>
      </c>
      <c r="M109" s="102"/>
      <c r="N109" s="102"/>
      <c r="O109" s="102"/>
    </row>
    <row r="110" spans="2:15" ht="38.450000000000003" customHeight="1" x14ac:dyDescent="0.2">
      <c r="B110" s="105"/>
      <c r="C110" s="106"/>
      <c r="D110" s="105"/>
      <c r="E110" s="47" t="s">
        <v>103</v>
      </c>
      <c r="F110" s="47" t="s">
        <v>106</v>
      </c>
      <c r="G110" s="47" t="s">
        <v>107</v>
      </c>
      <c r="H110" s="47" t="s">
        <v>108</v>
      </c>
      <c r="I110" s="47" t="s">
        <v>109</v>
      </c>
      <c r="J110" s="47" t="s">
        <v>110</v>
      </c>
      <c r="K110" s="47" t="s">
        <v>111</v>
      </c>
      <c r="L110" s="47" t="s">
        <v>103</v>
      </c>
      <c r="M110" s="47" t="s">
        <v>106</v>
      </c>
      <c r="N110" s="47" t="s">
        <v>107</v>
      </c>
      <c r="O110" s="47" t="s">
        <v>109</v>
      </c>
    </row>
    <row r="111" spans="2:15" ht="21" customHeight="1" x14ac:dyDescent="0.2">
      <c r="B111" s="19" t="s">
        <v>2</v>
      </c>
      <c r="C111" s="4" t="s">
        <v>19</v>
      </c>
      <c r="D111" s="83">
        <v>0.05</v>
      </c>
      <c r="E111" s="23">
        <f>ROUND($D$111*(E25+E66+E77+E100+E106),2)</f>
        <v>230.45</v>
      </c>
      <c r="F111" s="23">
        <f t="shared" ref="F111:O111" si="70">ROUND($D$111*(F25+F66+F77+F100+F106),2)</f>
        <v>213.11</v>
      </c>
      <c r="G111" s="23">
        <f t="shared" si="70"/>
        <v>230.45</v>
      </c>
      <c r="H111" s="23">
        <f t="shared" si="70"/>
        <v>267.39</v>
      </c>
      <c r="I111" s="23">
        <f t="shared" si="70"/>
        <v>215.79</v>
      </c>
      <c r="J111" s="23">
        <f t="shared" si="70"/>
        <v>213.12</v>
      </c>
      <c r="K111" s="23">
        <f t="shared" si="70"/>
        <v>172.7</v>
      </c>
      <c r="L111" s="23">
        <f t="shared" si="70"/>
        <v>229.33</v>
      </c>
      <c r="M111" s="23">
        <f t="shared" si="70"/>
        <v>211.99</v>
      </c>
      <c r="N111" s="23">
        <f t="shared" si="70"/>
        <v>229.33</v>
      </c>
      <c r="O111" s="23">
        <f t="shared" si="70"/>
        <v>214.67</v>
      </c>
    </row>
    <row r="112" spans="2:15" ht="21" customHeight="1" x14ac:dyDescent="0.2">
      <c r="B112" s="19" t="s">
        <v>3</v>
      </c>
      <c r="C112" s="4" t="s">
        <v>16</v>
      </c>
      <c r="D112" s="83">
        <v>0.1119</v>
      </c>
      <c r="E112" s="23">
        <f>ROUND($D$112*(E25+E66+E77+E100+E106+E111),2)</f>
        <v>541.54</v>
      </c>
      <c r="F112" s="23">
        <f t="shared" ref="F112:O112" si="71">ROUND($D$112*(F25+F66+F77+F100+F106+F111),2)</f>
        <v>500.79</v>
      </c>
      <c r="G112" s="23">
        <f t="shared" si="71"/>
        <v>541.54</v>
      </c>
      <c r="H112" s="23">
        <f t="shared" si="71"/>
        <v>628.34</v>
      </c>
      <c r="I112" s="23">
        <f t="shared" si="71"/>
        <v>507.09</v>
      </c>
      <c r="J112" s="23">
        <f t="shared" si="71"/>
        <v>500.82</v>
      </c>
      <c r="K112" s="23">
        <f t="shared" si="71"/>
        <v>405.82</v>
      </c>
      <c r="L112" s="23">
        <f t="shared" si="71"/>
        <v>538.9</v>
      </c>
      <c r="M112" s="23">
        <f t="shared" si="71"/>
        <v>498.15</v>
      </c>
      <c r="N112" s="23">
        <f t="shared" si="71"/>
        <v>538.9</v>
      </c>
      <c r="O112" s="23">
        <f t="shared" si="71"/>
        <v>504.44</v>
      </c>
    </row>
    <row r="113" spans="2:15" ht="29.25" customHeight="1" x14ac:dyDescent="0.2">
      <c r="B113" s="19" t="s">
        <v>4</v>
      </c>
      <c r="C113" s="35" t="s">
        <v>80</v>
      </c>
      <c r="D113" s="10">
        <f>D114+D115+D116</f>
        <v>8.6499999999999994E-2</v>
      </c>
      <c r="E113" s="23">
        <f>ROUND((E25+E66+E77+E100+E106+E111+E112)/(1-$D$113),2)</f>
        <v>5890.61</v>
      </c>
      <c r="F113" s="23">
        <f t="shared" ref="F113:O113" si="72">ROUND((F25+F66+F77+F100+F106+F111+F112)/(1-$D$113),2)</f>
        <v>5447.31</v>
      </c>
      <c r="G113" s="23">
        <f t="shared" si="72"/>
        <v>5890.61</v>
      </c>
      <c r="H113" s="23">
        <f t="shared" si="72"/>
        <v>6834.76</v>
      </c>
      <c r="I113" s="23">
        <f t="shared" si="72"/>
        <v>5515.81</v>
      </c>
      <c r="J113" s="23">
        <f t="shared" si="72"/>
        <v>5447.64</v>
      </c>
      <c r="K113" s="23">
        <f t="shared" si="72"/>
        <v>4414.32</v>
      </c>
      <c r="L113" s="23">
        <f t="shared" si="72"/>
        <v>5861.9</v>
      </c>
      <c r="M113" s="23">
        <f t="shared" si="72"/>
        <v>5418.58</v>
      </c>
      <c r="N113" s="23">
        <f t="shared" si="72"/>
        <v>5861.9</v>
      </c>
      <c r="O113" s="23">
        <f t="shared" si="72"/>
        <v>5487.07</v>
      </c>
    </row>
    <row r="114" spans="2:15" ht="21" customHeight="1" x14ac:dyDescent="0.2">
      <c r="B114" s="114"/>
      <c r="C114" s="4" t="s">
        <v>51</v>
      </c>
      <c r="D114" s="1">
        <v>0.03</v>
      </c>
      <c r="E114" s="23">
        <f>ROUND($D$114*(E113),2)</f>
        <v>176.72</v>
      </c>
      <c r="F114" s="23">
        <f t="shared" ref="F114:O114" si="73">ROUND($D$114*(F113),2)</f>
        <v>163.41999999999999</v>
      </c>
      <c r="G114" s="23">
        <f t="shared" si="73"/>
        <v>176.72</v>
      </c>
      <c r="H114" s="23">
        <f t="shared" si="73"/>
        <v>205.04</v>
      </c>
      <c r="I114" s="23">
        <f t="shared" si="73"/>
        <v>165.47</v>
      </c>
      <c r="J114" s="23">
        <f t="shared" si="73"/>
        <v>163.43</v>
      </c>
      <c r="K114" s="23">
        <f t="shared" si="73"/>
        <v>132.43</v>
      </c>
      <c r="L114" s="23">
        <f t="shared" si="73"/>
        <v>175.86</v>
      </c>
      <c r="M114" s="23">
        <f t="shared" si="73"/>
        <v>162.56</v>
      </c>
      <c r="N114" s="23">
        <f t="shared" si="73"/>
        <v>175.86</v>
      </c>
      <c r="O114" s="23">
        <f t="shared" si="73"/>
        <v>164.61</v>
      </c>
    </row>
    <row r="115" spans="2:15" ht="21" customHeight="1" x14ac:dyDescent="0.2">
      <c r="B115" s="114"/>
      <c r="C115" s="4" t="s">
        <v>52</v>
      </c>
      <c r="D115" s="1">
        <v>6.4999999999999997E-3</v>
      </c>
      <c r="E115" s="23">
        <f>ROUND($D$115*(E113),2)</f>
        <v>38.29</v>
      </c>
      <c r="F115" s="23">
        <f t="shared" ref="F115:O115" si="74">ROUND($D$115*(F113),2)</f>
        <v>35.409999999999997</v>
      </c>
      <c r="G115" s="23">
        <f t="shared" si="74"/>
        <v>38.29</v>
      </c>
      <c r="H115" s="23">
        <f t="shared" si="74"/>
        <v>44.43</v>
      </c>
      <c r="I115" s="23">
        <f t="shared" si="74"/>
        <v>35.85</v>
      </c>
      <c r="J115" s="23">
        <f t="shared" si="74"/>
        <v>35.409999999999997</v>
      </c>
      <c r="K115" s="23">
        <f t="shared" si="74"/>
        <v>28.69</v>
      </c>
      <c r="L115" s="23">
        <f t="shared" si="74"/>
        <v>38.1</v>
      </c>
      <c r="M115" s="23">
        <f t="shared" si="74"/>
        <v>35.22</v>
      </c>
      <c r="N115" s="23">
        <f t="shared" si="74"/>
        <v>38.1</v>
      </c>
      <c r="O115" s="23">
        <f t="shared" si="74"/>
        <v>35.67</v>
      </c>
    </row>
    <row r="116" spans="2:15" ht="21" customHeight="1" x14ac:dyDescent="0.2">
      <c r="B116" s="114"/>
      <c r="C116" s="32" t="s">
        <v>53</v>
      </c>
      <c r="D116" s="1">
        <v>0.05</v>
      </c>
      <c r="E116" s="23">
        <f>ROUND($D$116*(E113),2)</f>
        <v>294.52999999999997</v>
      </c>
      <c r="F116" s="23">
        <f t="shared" ref="F116:O116" si="75">ROUND($D$116*(F113),2)</f>
        <v>272.37</v>
      </c>
      <c r="G116" s="23">
        <f t="shared" si="75"/>
        <v>294.52999999999997</v>
      </c>
      <c r="H116" s="23">
        <f t="shared" si="75"/>
        <v>341.74</v>
      </c>
      <c r="I116" s="23">
        <f t="shared" si="75"/>
        <v>275.79000000000002</v>
      </c>
      <c r="J116" s="23">
        <f t="shared" si="75"/>
        <v>272.38</v>
      </c>
      <c r="K116" s="23">
        <f t="shared" si="75"/>
        <v>220.72</v>
      </c>
      <c r="L116" s="23">
        <f t="shared" si="75"/>
        <v>293.10000000000002</v>
      </c>
      <c r="M116" s="23">
        <f t="shared" si="75"/>
        <v>270.93</v>
      </c>
      <c r="N116" s="23">
        <f t="shared" si="75"/>
        <v>293.10000000000002</v>
      </c>
      <c r="O116" s="23">
        <f t="shared" si="75"/>
        <v>274.35000000000002</v>
      </c>
    </row>
    <row r="117" spans="2:15" ht="21" customHeight="1" x14ac:dyDescent="0.2">
      <c r="B117" s="105" t="s">
        <v>0</v>
      </c>
      <c r="C117" s="105"/>
      <c r="D117" s="7">
        <f>D111+D112+D114+D115+D116</f>
        <v>0.24840000000000001</v>
      </c>
      <c r="E117" s="13">
        <f>E111+E112+E114+E115+E116</f>
        <v>1281.53</v>
      </c>
      <c r="F117" s="13">
        <f t="shared" ref="F117:O117" si="76">F111+F112+F114+F115+F116</f>
        <v>1185.0999999999999</v>
      </c>
      <c r="G117" s="13">
        <f t="shared" si="76"/>
        <v>1281.53</v>
      </c>
      <c r="H117" s="13">
        <f t="shared" si="76"/>
        <v>1486.94</v>
      </c>
      <c r="I117" s="13">
        <f t="shared" si="76"/>
        <v>1199.99</v>
      </c>
      <c r="J117" s="13">
        <f t="shared" si="76"/>
        <v>1185.1600000000001</v>
      </c>
      <c r="K117" s="13">
        <f t="shared" si="76"/>
        <v>960.36000000000013</v>
      </c>
      <c r="L117" s="13">
        <f t="shared" si="76"/>
        <v>1275.29</v>
      </c>
      <c r="M117" s="13">
        <f t="shared" si="76"/>
        <v>1178.8500000000001</v>
      </c>
      <c r="N117" s="13">
        <f t="shared" si="76"/>
        <v>1275.29</v>
      </c>
      <c r="O117" s="13">
        <f t="shared" si="76"/>
        <v>1193.74</v>
      </c>
    </row>
    <row r="118" spans="2:15" ht="21" customHeight="1" x14ac:dyDescent="0.2">
      <c r="B118" s="25"/>
      <c r="C118" s="25"/>
      <c r="D118" s="34"/>
      <c r="E118" s="33"/>
    </row>
    <row r="119" spans="2:15" ht="21" customHeight="1" x14ac:dyDescent="0.2">
      <c r="B119" s="104" t="s">
        <v>17</v>
      </c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</row>
    <row r="120" spans="2:15" ht="27" customHeight="1" x14ac:dyDescent="0.2">
      <c r="B120" s="107" t="s">
        <v>18</v>
      </c>
      <c r="C120" s="107"/>
      <c r="D120" s="107"/>
      <c r="E120" s="102" t="s">
        <v>105</v>
      </c>
      <c r="F120" s="102"/>
      <c r="G120" s="102"/>
      <c r="H120" s="102"/>
      <c r="I120" s="102"/>
      <c r="J120" s="102"/>
      <c r="K120" s="102"/>
      <c r="L120" s="102" t="s">
        <v>112</v>
      </c>
      <c r="M120" s="102"/>
      <c r="N120" s="102"/>
      <c r="O120" s="102"/>
    </row>
    <row r="121" spans="2:15" ht="36.6" customHeight="1" x14ac:dyDescent="0.2">
      <c r="B121" s="105"/>
      <c r="C121" s="105"/>
      <c r="D121" s="105"/>
      <c r="E121" s="47" t="s">
        <v>103</v>
      </c>
      <c r="F121" s="47" t="s">
        <v>106</v>
      </c>
      <c r="G121" s="47" t="s">
        <v>107</v>
      </c>
      <c r="H121" s="47" t="s">
        <v>108</v>
      </c>
      <c r="I121" s="47" t="s">
        <v>109</v>
      </c>
      <c r="J121" s="47" t="s">
        <v>110</v>
      </c>
      <c r="K121" s="47" t="s">
        <v>111</v>
      </c>
      <c r="L121" s="47" t="s">
        <v>103</v>
      </c>
      <c r="M121" s="47" t="s">
        <v>106</v>
      </c>
      <c r="N121" s="47" t="s">
        <v>107</v>
      </c>
      <c r="O121" s="47" t="s">
        <v>109</v>
      </c>
    </row>
    <row r="122" spans="2:15" ht="21" customHeight="1" x14ac:dyDescent="0.2">
      <c r="B122" s="19" t="s">
        <v>2</v>
      </c>
      <c r="C122" s="109" t="str">
        <f>B20</f>
        <v>MÓDULO 1 - COMPOSIÇÃO DA REMUNERAÇÃO</v>
      </c>
      <c r="D122" s="109"/>
      <c r="E122" s="23">
        <f>E25</f>
        <v>2054.299</v>
      </c>
      <c r="F122" s="23">
        <f t="shared" ref="F122:O122" si="77">F25</f>
        <v>1858.0119999999999</v>
      </c>
      <c r="G122" s="23">
        <f t="shared" si="77"/>
        <v>2054.299</v>
      </c>
      <c r="H122" s="23">
        <f t="shared" si="77"/>
        <v>2482.1419999999998</v>
      </c>
      <c r="I122" s="23">
        <f t="shared" si="77"/>
        <v>1898.1039999999998</v>
      </c>
      <c r="J122" s="23">
        <f t="shared" si="77"/>
        <v>1945.502</v>
      </c>
      <c r="K122" s="23">
        <f t="shared" si="77"/>
        <v>1400.6584090909091</v>
      </c>
      <c r="L122" s="23">
        <f t="shared" si="77"/>
        <v>2054.299</v>
      </c>
      <c r="M122" s="23">
        <f t="shared" si="77"/>
        <v>1858.0119999999999</v>
      </c>
      <c r="N122" s="23">
        <f t="shared" si="77"/>
        <v>2054.299</v>
      </c>
      <c r="O122" s="23">
        <f t="shared" si="77"/>
        <v>1898.1039999999998</v>
      </c>
    </row>
    <row r="123" spans="2:15" ht="21" customHeight="1" x14ac:dyDescent="0.2">
      <c r="B123" s="19" t="s">
        <v>3</v>
      </c>
      <c r="C123" s="109" t="str">
        <f>B27</f>
        <v>MÓDULO 2 - ENCARGOS E BENEFÍCIOS ANUAIS, MENSAIS E DIÁRIOS</v>
      </c>
      <c r="D123" s="109"/>
      <c r="E123" s="23">
        <f>E66</f>
        <v>2147.25</v>
      </c>
      <c r="F123" s="23">
        <f t="shared" ref="F123:O123" si="78">F66</f>
        <v>2029.1799999999998</v>
      </c>
      <c r="G123" s="23">
        <f t="shared" si="78"/>
        <v>2147.25</v>
      </c>
      <c r="H123" s="23">
        <f t="shared" si="78"/>
        <v>2387.62</v>
      </c>
      <c r="I123" s="23">
        <f t="shared" si="78"/>
        <v>2036.39</v>
      </c>
      <c r="J123" s="23">
        <f t="shared" si="78"/>
        <v>1930.73</v>
      </c>
      <c r="K123" s="23">
        <f t="shared" si="78"/>
        <v>1754.0300000000002</v>
      </c>
      <c r="L123" s="23">
        <f t="shared" si="78"/>
        <v>2125.25</v>
      </c>
      <c r="M123" s="23">
        <f t="shared" si="78"/>
        <v>2007.1799999999998</v>
      </c>
      <c r="N123" s="23">
        <f t="shared" si="78"/>
        <v>2125.25</v>
      </c>
      <c r="O123" s="23">
        <f t="shared" si="78"/>
        <v>2014.39</v>
      </c>
    </row>
    <row r="124" spans="2:15" ht="21" customHeight="1" x14ac:dyDescent="0.2">
      <c r="B124" s="19" t="s">
        <v>4</v>
      </c>
      <c r="C124" s="109" t="str">
        <f>B68</f>
        <v>MÓDULO 3 - PROVISÃO PARA RESCISÃO</v>
      </c>
      <c r="D124" s="109"/>
      <c r="E124" s="23">
        <f>E77</f>
        <v>263.52</v>
      </c>
      <c r="F124" s="23">
        <f t="shared" ref="F124:O124" si="79">F77</f>
        <v>238.34</v>
      </c>
      <c r="G124" s="23">
        <f t="shared" si="79"/>
        <v>263.52</v>
      </c>
      <c r="H124" s="23">
        <f t="shared" si="79"/>
        <v>318.40000000000003</v>
      </c>
      <c r="I124" s="23">
        <f t="shared" si="79"/>
        <v>243.49</v>
      </c>
      <c r="J124" s="23">
        <f t="shared" si="79"/>
        <v>249.56</v>
      </c>
      <c r="K124" s="23">
        <f t="shared" si="79"/>
        <v>179.69</v>
      </c>
      <c r="L124" s="23">
        <f t="shared" si="79"/>
        <v>263.52</v>
      </c>
      <c r="M124" s="23">
        <f t="shared" si="79"/>
        <v>238.34</v>
      </c>
      <c r="N124" s="23">
        <f t="shared" si="79"/>
        <v>263.52</v>
      </c>
      <c r="O124" s="23">
        <f t="shared" si="79"/>
        <v>243.49</v>
      </c>
    </row>
    <row r="125" spans="2:15" ht="21" customHeight="1" x14ac:dyDescent="0.2">
      <c r="B125" s="19" t="s">
        <v>5</v>
      </c>
      <c r="C125" s="109" t="str">
        <f>B79</f>
        <v>MÓDULO 4 - CUSTO DE REPOSIÇÃO DO PROFISSIONAL AUSENTE</v>
      </c>
      <c r="D125" s="109"/>
      <c r="E125" s="23">
        <f>E100</f>
        <v>96.509999999999991</v>
      </c>
      <c r="F125" s="23">
        <f t="shared" ref="F125:O125" si="80">F100</f>
        <v>89.19</v>
      </c>
      <c r="G125" s="23">
        <f t="shared" si="80"/>
        <v>96.509999999999991</v>
      </c>
      <c r="H125" s="23">
        <f t="shared" si="80"/>
        <v>112.16</v>
      </c>
      <c r="I125" s="23">
        <f t="shared" si="80"/>
        <v>90.33</v>
      </c>
      <c r="J125" s="23">
        <f t="shared" si="80"/>
        <v>89.19</v>
      </c>
      <c r="K125" s="23">
        <f t="shared" si="80"/>
        <v>72.08</v>
      </c>
      <c r="L125" s="23">
        <f t="shared" si="80"/>
        <v>96.050000000000011</v>
      </c>
      <c r="M125" s="23">
        <f t="shared" si="80"/>
        <v>88.7</v>
      </c>
      <c r="N125" s="23">
        <f t="shared" si="80"/>
        <v>96.050000000000011</v>
      </c>
      <c r="O125" s="23">
        <f t="shared" si="80"/>
        <v>89.84</v>
      </c>
    </row>
    <row r="126" spans="2:15" ht="21" customHeight="1" x14ac:dyDescent="0.2">
      <c r="B126" s="19" t="s">
        <v>6</v>
      </c>
      <c r="C126" s="109" t="str">
        <f>B102</f>
        <v>MÓDULO 5 - INSUMOS DIVERSOS</v>
      </c>
      <c r="D126" s="109"/>
      <c r="E126" s="23">
        <f>E106</f>
        <v>47.5</v>
      </c>
      <c r="F126" s="23">
        <f t="shared" ref="F126:O126" si="81">F106</f>
        <v>47.5</v>
      </c>
      <c r="G126" s="23">
        <f t="shared" si="81"/>
        <v>47.5</v>
      </c>
      <c r="H126" s="23">
        <f t="shared" si="81"/>
        <v>47.5</v>
      </c>
      <c r="I126" s="23">
        <f t="shared" si="81"/>
        <v>47.5</v>
      </c>
      <c r="J126" s="23">
        <f t="shared" si="81"/>
        <v>47.5</v>
      </c>
      <c r="K126" s="23">
        <f t="shared" si="81"/>
        <v>47.5</v>
      </c>
      <c r="L126" s="23">
        <f t="shared" si="81"/>
        <v>47.5</v>
      </c>
      <c r="M126" s="23">
        <f t="shared" si="81"/>
        <v>47.5</v>
      </c>
      <c r="N126" s="23">
        <f t="shared" si="81"/>
        <v>47.5</v>
      </c>
      <c r="O126" s="23">
        <f t="shared" si="81"/>
        <v>47.5</v>
      </c>
    </row>
    <row r="127" spans="2:15" ht="21" customHeight="1" x14ac:dyDescent="0.2">
      <c r="B127" s="114" t="s">
        <v>47</v>
      </c>
      <c r="C127" s="114"/>
      <c r="D127" s="114"/>
      <c r="E127" s="23">
        <f>SUM(E122:E126)</f>
        <v>4609.0789999999997</v>
      </c>
      <c r="F127" s="23">
        <f t="shared" ref="F127:O127" si="82">SUM(F122:F126)</f>
        <v>4262.2219999999998</v>
      </c>
      <c r="G127" s="23">
        <f t="shared" si="82"/>
        <v>4609.0789999999997</v>
      </c>
      <c r="H127" s="23">
        <f t="shared" si="82"/>
        <v>5347.8219999999992</v>
      </c>
      <c r="I127" s="23">
        <f t="shared" si="82"/>
        <v>4315.8139999999994</v>
      </c>
      <c r="J127" s="23">
        <f t="shared" si="82"/>
        <v>4262.482</v>
      </c>
      <c r="K127" s="23">
        <f t="shared" si="82"/>
        <v>3453.9584090909093</v>
      </c>
      <c r="L127" s="23">
        <f t="shared" si="82"/>
        <v>4586.6189999999997</v>
      </c>
      <c r="M127" s="23">
        <f t="shared" si="82"/>
        <v>4239.732</v>
      </c>
      <c r="N127" s="23">
        <f t="shared" si="82"/>
        <v>4586.6189999999997</v>
      </c>
      <c r="O127" s="23">
        <f t="shared" si="82"/>
        <v>4293.3239999999996</v>
      </c>
    </row>
    <row r="128" spans="2:15" ht="21" customHeight="1" thickBot="1" x14ac:dyDescent="0.25">
      <c r="B128" s="27" t="s">
        <v>7</v>
      </c>
      <c r="C128" s="120" t="str">
        <f>B108</f>
        <v>MÓDULO 6 - CUSTOS INDIRETOS, TRIBUTOS E LUCRO</v>
      </c>
      <c r="D128" s="120"/>
      <c r="E128" s="36">
        <f>E117</f>
        <v>1281.53</v>
      </c>
      <c r="F128" s="36">
        <f t="shared" ref="F128:O128" si="83">F117</f>
        <v>1185.0999999999999</v>
      </c>
      <c r="G128" s="36">
        <f t="shared" si="83"/>
        <v>1281.53</v>
      </c>
      <c r="H128" s="36">
        <f t="shared" si="83"/>
        <v>1486.94</v>
      </c>
      <c r="I128" s="36">
        <f t="shared" si="83"/>
        <v>1199.99</v>
      </c>
      <c r="J128" s="36">
        <f t="shared" si="83"/>
        <v>1185.1600000000001</v>
      </c>
      <c r="K128" s="36">
        <f t="shared" si="83"/>
        <v>960.36000000000013</v>
      </c>
      <c r="L128" s="36">
        <f t="shared" si="83"/>
        <v>1275.29</v>
      </c>
      <c r="M128" s="36">
        <f t="shared" si="83"/>
        <v>1178.8500000000001</v>
      </c>
      <c r="N128" s="36">
        <f t="shared" si="83"/>
        <v>1275.29</v>
      </c>
      <c r="O128" s="36">
        <f t="shared" si="83"/>
        <v>1193.74</v>
      </c>
    </row>
    <row r="129" spans="2:15" ht="21" customHeight="1" thickBot="1" x14ac:dyDescent="0.25">
      <c r="B129" s="118" t="s">
        <v>54</v>
      </c>
      <c r="C129" s="119"/>
      <c r="D129" s="119"/>
      <c r="E129" s="52">
        <f>SUM(E127:E128)</f>
        <v>5890.6089999999995</v>
      </c>
      <c r="F129" s="52">
        <f t="shared" ref="F129:O129" si="84">SUM(F127:F128)</f>
        <v>5447.3220000000001</v>
      </c>
      <c r="G129" s="52">
        <f t="shared" si="84"/>
        <v>5890.6089999999995</v>
      </c>
      <c r="H129" s="52">
        <f t="shared" si="84"/>
        <v>6834.7619999999988</v>
      </c>
      <c r="I129" s="52">
        <f t="shared" si="84"/>
        <v>5515.8039999999992</v>
      </c>
      <c r="J129" s="52">
        <f t="shared" si="84"/>
        <v>5447.6419999999998</v>
      </c>
      <c r="K129" s="52">
        <f t="shared" si="84"/>
        <v>4414.318409090909</v>
      </c>
      <c r="L129" s="52">
        <f t="shared" si="84"/>
        <v>5861.9089999999997</v>
      </c>
      <c r="M129" s="52">
        <f t="shared" si="84"/>
        <v>5418.5820000000003</v>
      </c>
      <c r="N129" s="52">
        <f t="shared" si="84"/>
        <v>5861.9089999999997</v>
      </c>
      <c r="O129" s="52">
        <f t="shared" si="84"/>
        <v>5487.0639999999994</v>
      </c>
    </row>
    <row r="130" spans="2:15" ht="20.25" customHeight="1" x14ac:dyDescent="0.25">
      <c r="B130" s="3"/>
      <c r="C130" s="3"/>
      <c r="D130" s="21"/>
      <c r="E130" s="14"/>
      <c r="F130" s="65" t="s">
        <v>126</v>
      </c>
      <c r="G130" s="16"/>
      <c r="H130" s="16"/>
      <c r="I130" s="16"/>
      <c r="J130" s="16"/>
      <c r="K130" s="16"/>
    </row>
    <row r="131" spans="2:15" ht="15" x14ac:dyDescent="0.2">
      <c r="B131" s="15"/>
      <c r="C131" s="15"/>
      <c r="D131" s="15"/>
      <c r="F131" s="16"/>
      <c r="G131" s="16"/>
      <c r="H131" s="16"/>
      <c r="I131" s="16"/>
      <c r="J131" s="16"/>
      <c r="K131" s="16"/>
    </row>
    <row r="132" spans="2:15" ht="15" x14ac:dyDescent="0.2">
      <c r="B132" s="15"/>
      <c r="C132" s="15"/>
      <c r="D132" s="15"/>
      <c r="F132" s="16"/>
      <c r="G132" s="16"/>
      <c r="H132" s="16"/>
      <c r="I132" s="16"/>
      <c r="J132" s="16"/>
      <c r="K132" s="16"/>
    </row>
    <row r="133" spans="2:15" ht="15" x14ac:dyDescent="0.2">
      <c r="B133" s="15"/>
      <c r="C133" s="15"/>
      <c r="D133" s="15"/>
      <c r="F133" s="16"/>
      <c r="G133" s="16"/>
      <c r="H133" s="16"/>
      <c r="I133" s="16"/>
      <c r="J133" s="16"/>
      <c r="K133" s="16"/>
    </row>
    <row r="135" spans="2:15" x14ac:dyDescent="0.2">
      <c r="E135" s="9"/>
    </row>
    <row r="136" spans="2:15" x14ac:dyDescent="0.2">
      <c r="E136" s="9"/>
    </row>
    <row r="138" spans="2:15" x14ac:dyDescent="0.2">
      <c r="E138" s="6"/>
    </row>
    <row r="142" spans="2:15" ht="15" x14ac:dyDescent="0.25">
      <c r="D142" s="21"/>
    </row>
    <row r="143" spans="2:15" ht="15" x14ac:dyDescent="0.25">
      <c r="D143" s="21"/>
    </row>
    <row r="144" spans="2:15" ht="15" x14ac:dyDescent="0.25">
      <c r="D144" s="21"/>
    </row>
    <row r="145" spans="4:4" ht="15" x14ac:dyDescent="0.25">
      <c r="D145" s="21"/>
    </row>
    <row r="146" spans="4:4" ht="15" x14ac:dyDescent="0.25">
      <c r="D146" s="21"/>
    </row>
  </sheetData>
  <mergeCells count="150">
    <mergeCell ref="M50:M52"/>
    <mergeCell ref="N50:N52"/>
    <mergeCell ref="B50:B52"/>
    <mergeCell ref="O55:O56"/>
    <mergeCell ref="C50:C52"/>
    <mergeCell ref="E50:E52"/>
    <mergeCell ref="F50:F52"/>
    <mergeCell ref="G50:G52"/>
    <mergeCell ref="J50:J52"/>
    <mergeCell ref="K50:K52"/>
    <mergeCell ref="L50:L52"/>
    <mergeCell ref="H50:H52"/>
    <mergeCell ref="I50:I52"/>
    <mergeCell ref="O50:O52"/>
    <mergeCell ref="L55:L56"/>
    <mergeCell ref="M55:M56"/>
    <mergeCell ref="N55:N56"/>
    <mergeCell ref="F18:L18"/>
    <mergeCell ref="B27:O27"/>
    <mergeCell ref="B20:O20"/>
    <mergeCell ref="B2:O2"/>
    <mergeCell ref="B3:O3"/>
    <mergeCell ref="B4:O4"/>
    <mergeCell ref="F9:I9"/>
    <mergeCell ref="F8:I8"/>
    <mergeCell ref="F7:I7"/>
    <mergeCell ref="F10:I10"/>
    <mergeCell ref="B6:I6"/>
    <mergeCell ref="F14:L14"/>
    <mergeCell ref="F13:L13"/>
    <mergeCell ref="B12:L12"/>
    <mergeCell ref="L21:O21"/>
    <mergeCell ref="N7:O12"/>
    <mergeCell ref="N13:O18"/>
    <mergeCell ref="B46:B47"/>
    <mergeCell ref="C55:C56"/>
    <mergeCell ref="B55:B56"/>
    <mergeCell ref="D34:D35"/>
    <mergeCell ref="C34:C35"/>
    <mergeCell ref="B34:B35"/>
    <mergeCell ref="B28:B29"/>
    <mergeCell ref="C28:C29"/>
    <mergeCell ref="D28:D29"/>
    <mergeCell ref="D46:D47"/>
    <mergeCell ref="C46:C47"/>
    <mergeCell ref="B88:C88"/>
    <mergeCell ref="C14:E14"/>
    <mergeCell ref="C15:E15"/>
    <mergeCell ref="C16:E16"/>
    <mergeCell ref="C17:E17"/>
    <mergeCell ref="C18:E18"/>
    <mergeCell ref="C7:E7"/>
    <mergeCell ref="C8:E8"/>
    <mergeCell ref="C9:E9"/>
    <mergeCell ref="C10:E10"/>
    <mergeCell ref="B13:E13"/>
    <mergeCell ref="E21:K21"/>
    <mergeCell ref="E28:K28"/>
    <mergeCell ref="E69:K69"/>
    <mergeCell ref="H55:H56"/>
    <mergeCell ref="I55:I56"/>
    <mergeCell ref="J55:J56"/>
    <mergeCell ref="K55:K56"/>
    <mergeCell ref="B66:D66"/>
    <mergeCell ref="B25:D25"/>
    <mergeCell ref="B32:C32"/>
    <mergeCell ref="B44:C44"/>
    <mergeCell ref="B58:D58"/>
    <mergeCell ref="C63:D63"/>
    <mergeCell ref="B129:D129"/>
    <mergeCell ref="C123:D123"/>
    <mergeCell ref="C124:D124"/>
    <mergeCell ref="B120:D121"/>
    <mergeCell ref="D109:D110"/>
    <mergeCell ref="C109:C110"/>
    <mergeCell ref="B109:B110"/>
    <mergeCell ref="C105:D105"/>
    <mergeCell ref="B106:D106"/>
    <mergeCell ref="B114:B116"/>
    <mergeCell ref="B117:C117"/>
    <mergeCell ref="C125:D125"/>
    <mergeCell ref="C126:D126"/>
    <mergeCell ref="B127:D127"/>
    <mergeCell ref="C128:D128"/>
    <mergeCell ref="B119:O119"/>
    <mergeCell ref="E120:K120"/>
    <mergeCell ref="L120:O120"/>
    <mergeCell ref="C122:D122"/>
    <mergeCell ref="L28:O28"/>
    <mergeCell ref="E34:K34"/>
    <mergeCell ref="L34:O34"/>
    <mergeCell ref="E46:K46"/>
    <mergeCell ref="L46:O46"/>
    <mergeCell ref="E61:K61"/>
    <mergeCell ref="L61:O61"/>
    <mergeCell ref="B60:O60"/>
    <mergeCell ref="C48:C49"/>
    <mergeCell ref="B48:B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E55:E56"/>
    <mergeCell ref="F55:F56"/>
    <mergeCell ref="G55:G56"/>
    <mergeCell ref="L69:O69"/>
    <mergeCell ref="B68:O68"/>
    <mergeCell ref="B79:O79"/>
    <mergeCell ref="E80:K80"/>
    <mergeCell ref="L80:O80"/>
    <mergeCell ref="B61:B62"/>
    <mergeCell ref="C61:D62"/>
    <mergeCell ref="B77:D77"/>
    <mergeCell ref="D69:D70"/>
    <mergeCell ref="C64:D64"/>
    <mergeCell ref="C65:D65"/>
    <mergeCell ref="C69:C70"/>
    <mergeCell ref="B69:B70"/>
    <mergeCell ref="D80:D81"/>
    <mergeCell ref="C80:C81"/>
    <mergeCell ref="B80:B81"/>
    <mergeCell ref="L90:O90"/>
    <mergeCell ref="E96:K96"/>
    <mergeCell ref="L96:O96"/>
    <mergeCell ref="B95:O95"/>
    <mergeCell ref="E103:K103"/>
    <mergeCell ref="L103:O103"/>
    <mergeCell ref="B102:O102"/>
    <mergeCell ref="B108:O108"/>
    <mergeCell ref="E109:K109"/>
    <mergeCell ref="L109:O109"/>
    <mergeCell ref="B90:B91"/>
    <mergeCell ref="C90:D91"/>
    <mergeCell ref="B100:D100"/>
    <mergeCell ref="C103:D104"/>
    <mergeCell ref="B103:B104"/>
    <mergeCell ref="C96:D97"/>
    <mergeCell ref="B96:B97"/>
    <mergeCell ref="E90:K90"/>
    <mergeCell ref="C92:D92"/>
    <mergeCell ref="B93:D93"/>
    <mergeCell ref="C98:D98"/>
    <mergeCell ref="C99:D99"/>
  </mergeCells>
  <pageMargins left="0.511811024" right="0.511811024" top="0.78740157499999996" bottom="0.78740157499999996" header="0.31496062000000002" footer="0.31496062000000002"/>
  <pageSetup paperSize="9" scale="34" orientation="portrait" r:id="rId1"/>
  <rowBreaks count="1" manualBreakCount="1">
    <brk id="67" min="1" max="14" man="1"/>
  </rowBreaks>
  <ignoredErrors>
    <ignoredError sqref="E8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AF54B-DC9B-441F-B11F-235D84124ABA}">
  <dimension ref="A1:H11"/>
  <sheetViews>
    <sheetView tabSelected="1" zoomScale="130" zoomScaleNormal="130" workbookViewId="0">
      <selection activeCell="D11" sqref="D11"/>
    </sheetView>
  </sheetViews>
  <sheetFormatPr defaultColWidth="8.7109375" defaultRowHeight="15" x14ac:dyDescent="0.25"/>
  <cols>
    <col min="1" max="1" width="5.140625" style="77" bestFit="1" customWidth="1"/>
    <col min="2" max="2" width="31.140625" style="74" bestFit="1" customWidth="1"/>
    <col min="3" max="3" width="8.7109375" style="77"/>
    <col min="4" max="4" width="11" style="77" customWidth="1"/>
    <col min="5" max="6" width="13" style="77" customWidth="1"/>
    <col min="7" max="7" width="12.28515625" style="77" bestFit="1" customWidth="1"/>
    <col min="8" max="8" width="12.140625" style="74" bestFit="1" customWidth="1"/>
    <col min="9" max="16384" width="8.7109375" style="74"/>
  </cols>
  <sheetData>
    <row r="1" spans="1:8" ht="21.6" customHeight="1" x14ac:dyDescent="0.25">
      <c r="A1" s="149" t="s">
        <v>144</v>
      </c>
      <c r="B1" s="150"/>
      <c r="C1" s="150"/>
      <c r="D1" s="150"/>
      <c r="E1" s="150"/>
      <c r="F1" s="150"/>
      <c r="G1" s="150"/>
      <c r="H1" s="151"/>
    </row>
    <row r="2" spans="1:8" s="80" customFormat="1" ht="42.95" customHeight="1" x14ac:dyDescent="0.25">
      <c r="A2" s="90" t="s">
        <v>133</v>
      </c>
      <c r="B2" s="90" t="s">
        <v>134</v>
      </c>
      <c r="C2" s="90" t="s">
        <v>135</v>
      </c>
      <c r="D2" s="91" t="s">
        <v>148</v>
      </c>
      <c r="E2" s="91" t="s">
        <v>146</v>
      </c>
      <c r="F2" s="91" t="s">
        <v>147</v>
      </c>
      <c r="G2" s="91" t="s">
        <v>149</v>
      </c>
      <c r="H2" s="91" t="s">
        <v>150</v>
      </c>
    </row>
    <row r="3" spans="1:8" x14ac:dyDescent="0.25">
      <c r="A3" s="76">
        <v>1</v>
      </c>
      <c r="B3" s="75" t="s">
        <v>145</v>
      </c>
      <c r="C3" s="76" t="s">
        <v>136</v>
      </c>
      <c r="D3" s="78">
        <v>117.9</v>
      </c>
      <c r="E3" s="76">
        <v>15</v>
      </c>
      <c r="F3" s="79">
        <v>5</v>
      </c>
      <c r="G3" s="81">
        <f>D3*E3</f>
        <v>1768.5</v>
      </c>
      <c r="H3" s="82">
        <f>D3*F3</f>
        <v>589.5</v>
      </c>
    </row>
    <row r="4" spans="1:8" x14ac:dyDescent="0.25">
      <c r="A4" s="76">
        <v>2</v>
      </c>
      <c r="B4" s="75" t="s">
        <v>137</v>
      </c>
      <c r="C4" s="76" t="s">
        <v>136</v>
      </c>
      <c r="D4" s="78">
        <v>83.85</v>
      </c>
      <c r="E4" s="76">
        <v>3</v>
      </c>
      <c r="F4" s="79">
        <v>1</v>
      </c>
      <c r="G4" s="81">
        <f t="shared" ref="G4:G10" si="0">D4*E4</f>
        <v>251.54999999999998</v>
      </c>
      <c r="H4" s="82">
        <f t="shared" ref="H4:H10" si="1">D4*F4</f>
        <v>83.85</v>
      </c>
    </row>
    <row r="5" spans="1:8" x14ac:dyDescent="0.25">
      <c r="A5" s="76">
        <v>3</v>
      </c>
      <c r="B5" s="75" t="s">
        <v>138</v>
      </c>
      <c r="C5" s="76" t="s">
        <v>135</v>
      </c>
      <c r="D5" s="78">
        <v>48.91</v>
      </c>
      <c r="E5" s="76">
        <v>10</v>
      </c>
      <c r="F5" s="79">
        <v>5</v>
      </c>
      <c r="G5" s="81">
        <f t="shared" si="0"/>
        <v>489.09999999999997</v>
      </c>
      <c r="H5" s="82">
        <f t="shared" si="1"/>
        <v>244.54999999999998</v>
      </c>
    </row>
    <row r="6" spans="1:8" x14ac:dyDescent="0.25">
      <c r="A6" s="76">
        <v>4</v>
      </c>
      <c r="B6" s="75" t="s">
        <v>139</v>
      </c>
      <c r="C6" s="76" t="s">
        <v>135</v>
      </c>
      <c r="D6" s="78">
        <v>34.25</v>
      </c>
      <c r="E6" s="76">
        <v>13</v>
      </c>
      <c r="F6" s="79">
        <v>7</v>
      </c>
      <c r="G6" s="81">
        <f t="shared" si="0"/>
        <v>445.25</v>
      </c>
      <c r="H6" s="82">
        <f t="shared" si="1"/>
        <v>239.75</v>
      </c>
    </row>
    <row r="7" spans="1:8" x14ac:dyDescent="0.25">
      <c r="A7" s="76">
        <v>5</v>
      </c>
      <c r="B7" s="75" t="s">
        <v>140</v>
      </c>
      <c r="C7" s="76" t="s">
        <v>135</v>
      </c>
      <c r="D7" s="78">
        <v>2.23</v>
      </c>
      <c r="E7" s="76">
        <v>10</v>
      </c>
      <c r="F7" s="79">
        <v>5</v>
      </c>
      <c r="G7" s="81">
        <f t="shared" si="0"/>
        <v>22.3</v>
      </c>
      <c r="H7" s="82">
        <f t="shared" si="1"/>
        <v>11.15</v>
      </c>
    </row>
    <row r="8" spans="1:8" x14ac:dyDescent="0.25">
      <c r="A8" s="76">
        <v>6</v>
      </c>
      <c r="B8" s="75" t="s">
        <v>141</v>
      </c>
      <c r="C8" s="76" t="s">
        <v>135</v>
      </c>
      <c r="D8" s="78">
        <v>49.7</v>
      </c>
      <c r="E8" s="76">
        <v>17</v>
      </c>
      <c r="F8" s="79">
        <v>8</v>
      </c>
      <c r="G8" s="81">
        <f t="shared" si="0"/>
        <v>844.90000000000009</v>
      </c>
      <c r="H8" s="82">
        <f t="shared" si="1"/>
        <v>397.6</v>
      </c>
    </row>
    <row r="9" spans="1:8" x14ac:dyDescent="0.25">
      <c r="A9" s="76">
        <v>7</v>
      </c>
      <c r="B9" s="75" t="s">
        <v>142</v>
      </c>
      <c r="C9" s="76" t="s">
        <v>135</v>
      </c>
      <c r="D9" s="78">
        <v>40.67</v>
      </c>
      <c r="E9" s="76">
        <v>12</v>
      </c>
      <c r="F9" s="79">
        <v>3</v>
      </c>
      <c r="G9" s="81">
        <f t="shared" si="0"/>
        <v>488.04</v>
      </c>
      <c r="H9" s="82">
        <f t="shared" si="1"/>
        <v>122.01</v>
      </c>
    </row>
    <row r="10" spans="1:8" x14ac:dyDescent="0.25">
      <c r="A10" s="76">
        <v>8</v>
      </c>
      <c r="B10" s="75" t="s">
        <v>143</v>
      </c>
      <c r="C10" s="76" t="s">
        <v>135</v>
      </c>
      <c r="D10" s="78">
        <v>44.97</v>
      </c>
      <c r="E10" s="76">
        <v>15</v>
      </c>
      <c r="F10" s="79">
        <v>5</v>
      </c>
      <c r="G10" s="81">
        <f t="shared" si="0"/>
        <v>674.55</v>
      </c>
      <c r="H10" s="82">
        <f t="shared" si="1"/>
        <v>224.85</v>
      </c>
    </row>
    <row r="11" spans="1:8" x14ac:dyDescent="0.25">
      <c r="A11" s="86"/>
      <c r="B11" s="87" t="s">
        <v>0</v>
      </c>
      <c r="C11" s="86"/>
      <c r="D11" s="86"/>
      <c r="E11" s="86"/>
      <c r="F11" s="86"/>
      <c r="G11" s="88">
        <f>SUM(G3:G10)</f>
        <v>4984.1900000000005</v>
      </c>
      <c r="H11" s="89">
        <f>SUM(H3:H10)</f>
        <v>1913.26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998A1-43F5-449B-B5D1-4271ED033C95}">
  <dimension ref="B1:F12"/>
  <sheetViews>
    <sheetView view="pageBreakPreview" zoomScaleNormal="100" zoomScaleSheetLayoutView="100" workbookViewId="0">
      <selection activeCell="C7" sqref="C7"/>
    </sheetView>
  </sheetViews>
  <sheetFormatPr defaultColWidth="9.140625" defaultRowHeight="15.75" x14ac:dyDescent="0.25"/>
  <cols>
    <col min="1" max="1" width="2.85546875" style="40" customWidth="1"/>
    <col min="2" max="2" width="49.5703125" style="40" customWidth="1"/>
    <col min="3" max="3" width="11.28515625" style="40" customWidth="1"/>
    <col min="4" max="4" width="9.28515625" style="40" bestFit="1" customWidth="1"/>
    <col min="5" max="5" width="13" style="40" customWidth="1"/>
    <col min="6" max="6" width="11.7109375" style="40" bestFit="1" customWidth="1"/>
    <col min="7" max="16384" width="9.140625" style="40"/>
  </cols>
  <sheetData>
    <row r="1" spans="2:6" x14ac:dyDescent="0.25">
      <c r="B1" s="39"/>
      <c r="E1" s="41"/>
    </row>
    <row r="2" spans="2:6" x14ac:dyDescent="0.25">
      <c r="B2" s="152" t="s">
        <v>72</v>
      </c>
      <c r="C2" s="152"/>
      <c r="D2" s="152"/>
      <c r="E2" s="152"/>
      <c r="F2" s="152"/>
    </row>
    <row r="3" spans="2:6" ht="31.5" x14ac:dyDescent="0.25">
      <c r="B3" s="93" t="s">
        <v>61</v>
      </c>
      <c r="C3" s="95" t="s">
        <v>77</v>
      </c>
      <c r="D3" s="95" t="s">
        <v>73</v>
      </c>
      <c r="E3" s="95" t="s">
        <v>74</v>
      </c>
      <c r="F3" s="95" t="s">
        <v>75</v>
      </c>
    </row>
    <row r="4" spans="2:6" ht="31.5" x14ac:dyDescent="0.25">
      <c r="B4" s="42" t="s">
        <v>98</v>
      </c>
      <c r="C4" s="92">
        <v>100</v>
      </c>
      <c r="D4" s="44">
        <v>12</v>
      </c>
      <c r="E4" s="45">
        <v>2</v>
      </c>
      <c r="F4" s="43">
        <f>(C4/D4)*E4</f>
        <v>16.666666666666668</v>
      </c>
    </row>
    <row r="5" spans="2:6" ht="45" x14ac:dyDescent="0.25">
      <c r="B5" s="66" t="s">
        <v>99</v>
      </c>
      <c r="C5" s="92">
        <v>70</v>
      </c>
      <c r="D5" s="44">
        <v>12</v>
      </c>
      <c r="E5" s="45">
        <v>2</v>
      </c>
      <c r="F5" s="43">
        <f t="shared" ref="F5:F9" si="0">(C5/D5)*E5</f>
        <v>11.666666666666666</v>
      </c>
    </row>
    <row r="6" spans="2:6" ht="31.5" x14ac:dyDescent="0.25">
      <c r="B6" s="42" t="s">
        <v>100</v>
      </c>
      <c r="C6" s="92">
        <v>120</v>
      </c>
      <c r="D6" s="44">
        <v>12</v>
      </c>
      <c r="E6" s="45">
        <v>1</v>
      </c>
      <c r="F6" s="43">
        <f t="shared" si="0"/>
        <v>10</v>
      </c>
    </row>
    <row r="7" spans="2:6" ht="31.5" x14ac:dyDescent="0.25">
      <c r="B7" s="42" t="s">
        <v>101</v>
      </c>
      <c r="C7" s="92">
        <v>15</v>
      </c>
      <c r="D7" s="44">
        <v>12</v>
      </c>
      <c r="E7" s="45">
        <v>3</v>
      </c>
      <c r="F7" s="43">
        <f t="shared" si="0"/>
        <v>3.75</v>
      </c>
    </row>
    <row r="8" spans="2:6" x14ac:dyDescent="0.25">
      <c r="B8" s="42" t="s">
        <v>76</v>
      </c>
      <c r="C8" s="92">
        <v>15</v>
      </c>
      <c r="D8" s="44">
        <v>12</v>
      </c>
      <c r="E8" s="45">
        <v>1</v>
      </c>
      <c r="F8" s="43">
        <f t="shared" si="0"/>
        <v>1.25</v>
      </c>
    </row>
    <row r="9" spans="2:6" x14ac:dyDescent="0.25">
      <c r="B9" s="42" t="s">
        <v>102</v>
      </c>
      <c r="C9" s="92">
        <v>50</v>
      </c>
      <c r="D9" s="44">
        <v>12</v>
      </c>
      <c r="E9" s="45">
        <v>1</v>
      </c>
      <c r="F9" s="43">
        <f t="shared" si="0"/>
        <v>4.166666666666667</v>
      </c>
    </row>
    <row r="10" spans="2:6" x14ac:dyDescent="0.25">
      <c r="B10" s="153" t="s">
        <v>0</v>
      </c>
      <c r="C10" s="153"/>
      <c r="D10" s="153"/>
      <c r="E10" s="153"/>
      <c r="F10" s="94">
        <f>SUM(F4:F9)</f>
        <v>47.5</v>
      </c>
    </row>
    <row r="11" spans="2:6" x14ac:dyDescent="0.25">
      <c r="E11" s="41"/>
    </row>
    <row r="12" spans="2:6" x14ac:dyDescent="0.25">
      <c r="B12" s="39"/>
      <c r="E12" s="41"/>
    </row>
  </sheetData>
  <mergeCells count="2">
    <mergeCell ref="B2:F2"/>
    <mergeCell ref="B10:E10"/>
  </mergeCells>
  <pageMargins left="0.511811024" right="0.511811024" top="0.78740157499999996" bottom="0.78740157499999996" header="0.31496062000000002" footer="0.31496062000000002"/>
  <pageSetup paperSize="9" scale="92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PROPOSTA</vt:lpstr>
      <vt:lpstr>POSTOS DE SERVIÇO</vt:lpstr>
      <vt:lpstr>INSUMOS</vt:lpstr>
      <vt:lpstr>UNIFORMES</vt:lpstr>
      <vt:lpstr>'POSTOS DE SERVIÇO'!Area_de_impressao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Deus proverá</dc:creator>
  <cp:lastModifiedBy>Renan Furtado Lima</cp:lastModifiedBy>
  <cp:lastPrinted>2024-06-11T11:48:31Z</cp:lastPrinted>
  <dcterms:created xsi:type="dcterms:W3CDTF">2016-12-15T21:33:06Z</dcterms:created>
  <dcterms:modified xsi:type="dcterms:W3CDTF">2024-06-18T17:07:01Z</dcterms:modified>
</cp:coreProperties>
</file>